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f11\d\budget_c\Budget_2021\Za VTOBS\Промени31102021\"/>
    </mc:Choice>
  </mc:AlternateContent>
  <bookViews>
    <workbookView xWindow="0" yWindow="0" windowWidth="28800" windowHeight="11835"/>
  </bookViews>
  <sheets>
    <sheet name="31102021" sheetId="26" r:id="rId1"/>
    <sheet name="Pril1_31102021" sheetId="28" r:id="rId2"/>
    <sheet name="Pril2-31102021" sheetId="27" r:id="rId3"/>
    <sheet name="pril3" sheetId="29" r:id="rId4"/>
    <sheet name="pril 4" sheetId="31" r:id="rId5"/>
    <sheet name="Лист1" sheetId="5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_xlfn_SUMIFS">NA()</definedName>
    <definedName name="_xlnm._FilterDatabase" localSheetId="1" hidden="1">Pril1_31102021!$A$1:$GG$445</definedName>
    <definedName name="GROUPS" localSheetId="0">[1]Groups!$A$1:$A$27</definedName>
    <definedName name="GROUPS" localSheetId="1">[2]Groups!$A$1:$A$27</definedName>
    <definedName name="GROUPS">[3]Groups!$A$1:$A$27</definedName>
    <definedName name="GROUPS2" localSheetId="0">[1]Groups!$A$1:$B$27</definedName>
    <definedName name="GROUPS2" localSheetId="1">[2]Groups!$A$1:$B$27</definedName>
    <definedName name="GROUPS2">[3]Groups!$A$1:$B$27</definedName>
    <definedName name="ll">[4]list!$A$421:$B$709</definedName>
    <definedName name="mm">[4]Groups!$A$1:$B$27</definedName>
    <definedName name="oo">[4]list!$A$281:$B$304</definedName>
    <definedName name="OP_LIST" localSheetId="0">[1]list!$A$281:$A$304</definedName>
    <definedName name="OP_LIST" localSheetId="1">[2]list!$A$281:$A$304</definedName>
    <definedName name="OP_LIST">[3]list!$A$281:$A$304</definedName>
    <definedName name="OP_LIST2" localSheetId="0">[1]list!$A$281:$B$304</definedName>
    <definedName name="OP_LIST2" localSheetId="1">[2]list!$A$281:$B$304</definedName>
    <definedName name="OP_LIST2">[3]list!$A$281:$B$304</definedName>
    <definedName name="PRBK" localSheetId="0">[1]list!$A$421:$B$709</definedName>
    <definedName name="PRBK" localSheetId="1">[2]list!$A$421:$B$709</definedName>
    <definedName name="PRBK">[3]list!$A$421:$B$709</definedName>
    <definedName name="ss">[4]list!$A$281:$B$304</definedName>
    <definedName name="в">[1]list!$A$281:$A$304</definedName>
    <definedName name="з">[5]list!$A$281:$A$304</definedName>
    <definedName name="_xlnm.Print_Titles" localSheetId="1">Pril1_31102021!$6:$7</definedName>
    <definedName name="_xlnm.Print_Titles" localSheetId="2">'Pril2-31102021'!$9:$10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31" l="1"/>
  <c r="O31" i="31"/>
  <c r="N31" i="31"/>
  <c r="M31" i="31"/>
  <c r="L31" i="31"/>
  <c r="K31" i="31"/>
  <c r="J31" i="31"/>
  <c r="I31" i="31"/>
  <c r="H31" i="31"/>
  <c r="G31" i="31"/>
  <c r="F31" i="31"/>
  <c r="E31" i="31"/>
  <c r="C31" i="31" s="1"/>
  <c r="D31" i="31"/>
  <c r="P29" i="31"/>
  <c r="P32" i="31" s="1"/>
  <c r="O29" i="31"/>
  <c r="O32" i="31" s="1"/>
  <c r="L29" i="31"/>
  <c r="L32" i="31" s="1"/>
  <c r="K29" i="31"/>
  <c r="K32" i="31" s="1"/>
  <c r="H29" i="31"/>
  <c r="H32" i="31" s="1"/>
  <c r="G26" i="31"/>
  <c r="F26" i="31"/>
  <c r="G25" i="31"/>
  <c r="G22" i="31" s="1"/>
  <c r="G29" i="31" s="1"/>
  <c r="G32" i="31" s="1"/>
  <c r="D24" i="31"/>
  <c r="D22" i="31" s="1"/>
  <c r="P22" i="31"/>
  <c r="O22" i="31"/>
  <c r="N22" i="31"/>
  <c r="N29" i="31" s="1"/>
  <c r="N32" i="31" s="1"/>
  <c r="M22" i="31"/>
  <c r="M29" i="31" s="1"/>
  <c r="M32" i="31" s="1"/>
  <c r="L22" i="31"/>
  <c r="K22" i="31"/>
  <c r="J22" i="31"/>
  <c r="J29" i="31" s="1"/>
  <c r="J32" i="31" s="1"/>
  <c r="I22" i="31"/>
  <c r="I29" i="31" s="1"/>
  <c r="I32" i="31" s="1"/>
  <c r="H22" i="31"/>
  <c r="F22" i="31"/>
  <c r="F29" i="31" s="1"/>
  <c r="F32" i="31" s="1"/>
  <c r="E22" i="31"/>
  <c r="E29" i="31" s="1"/>
  <c r="E32" i="31" s="1"/>
  <c r="D21" i="31"/>
  <c r="D20" i="31"/>
  <c r="D19" i="31"/>
  <c r="C16" i="31"/>
  <c r="A12" i="31"/>
  <c r="D29" i="31" l="1"/>
  <c r="C29" i="31" l="1"/>
  <c r="D32" i="31"/>
  <c r="C32" i="31" s="1"/>
  <c r="A14" i="31" s="1"/>
  <c r="A16" i="31" s="1"/>
  <c r="B36" i="5" l="1"/>
  <c r="G237" i="26" l="1"/>
  <c r="F237" i="26"/>
  <c r="F149" i="26" l="1"/>
  <c r="G148" i="26" s="1"/>
  <c r="G157" i="26"/>
  <c r="G153" i="26"/>
  <c r="G122" i="26"/>
  <c r="G126" i="26"/>
  <c r="G106" i="26"/>
  <c r="F182" i="26"/>
  <c r="F178" i="26"/>
  <c r="F173" i="26"/>
  <c r="G172" i="26" s="1"/>
  <c r="F167" i="26"/>
  <c r="F163" i="26"/>
  <c r="F143" i="26"/>
  <c r="G142" i="26" s="1"/>
  <c r="F131" i="26"/>
  <c r="G130" i="26" s="1"/>
  <c r="F118" i="26"/>
  <c r="G117" i="26" s="1"/>
  <c r="G109" i="26"/>
  <c r="G91" i="26"/>
  <c r="F91" i="26" s="1"/>
  <c r="F92" i="26"/>
  <c r="F82" i="26"/>
  <c r="G81" i="26"/>
  <c r="G83" i="26" s="1"/>
  <c r="F83" i="26" s="1"/>
  <c r="F55" i="26"/>
  <c r="G54" i="26"/>
  <c r="F54" i="26" s="1"/>
  <c r="F53" i="26"/>
  <c r="G52" i="26"/>
  <c r="F52" i="26" s="1"/>
  <c r="F45" i="26"/>
  <c r="G44" i="26"/>
  <c r="G43" i="26" s="1"/>
  <c r="F43" i="26" s="1"/>
  <c r="F36" i="26"/>
  <c r="G35" i="26"/>
  <c r="F35" i="26" s="1"/>
  <c r="G29" i="26"/>
  <c r="F29" i="26" s="1"/>
  <c r="F30" i="26"/>
  <c r="G75" i="26"/>
  <c r="G74" i="26" s="1"/>
  <c r="F74" i="26" s="1"/>
  <c r="F97" i="26"/>
  <c r="G96" i="26"/>
  <c r="G98" i="26" s="1"/>
  <c r="F98" i="26" s="1"/>
  <c r="F89" i="26"/>
  <c r="F88" i="26"/>
  <c r="G87" i="26"/>
  <c r="F87" i="26" s="1"/>
  <c r="F76" i="26"/>
  <c r="F73" i="26"/>
  <c r="F72" i="26"/>
  <c r="G71" i="26"/>
  <c r="F71" i="26" s="1"/>
  <c r="F70" i="26"/>
  <c r="G69" i="26"/>
  <c r="F69" i="26" s="1"/>
  <c r="F58" i="26"/>
  <c r="F57" i="26"/>
  <c r="G56" i="26"/>
  <c r="F56" i="26" s="1"/>
  <c r="F42" i="26"/>
  <c r="G41" i="26"/>
  <c r="F41" i="26" s="1"/>
  <c r="F39" i="26"/>
  <c r="G38" i="26"/>
  <c r="F38" i="26" s="1"/>
  <c r="F33" i="26"/>
  <c r="G32" i="26"/>
  <c r="F32" i="26" s="1"/>
  <c r="G177" i="26" l="1"/>
  <c r="G137" i="26"/>
  <c r="G112" i="26"/>
  <c r="G90" i="26"/>
  <c r="F90" i="26" s="1"/>
  <c r="G161" i="26"/>
  <c r="F81" i="26"/>
  <c r="G34" i="26"/>
  <c r="F34" i="26" s="1"/>
  <c r="G51" i="26"/>
  <c r="G59" i="26" s="1"/>
  <c r="F59" i="26" s="1"/>
  <c r="F75" i="26"/>
  <c r="F44" i="26"/>
  <c r="G31" i="26"/>
  <c r="G28" i="26"/>
  <c r="F28" i="26" s="1"/>
  <c r="G86" i="26"/>
  <c r="G40" i="26"/>
  <c r="F40" i="26" s="1"/>
  <c r="G68" i="26"/>
  <c r="G77" i="26" s="1"/>
  <c r="G78" i="26" s="1"/>
  <c r="G37" i="26"/>
  <c r="F37" i="26" s="1"/>
  <c r="F96" i="26"/>
  <c r="AB216" i="28"/>
  <c r="Y216" i="28"/>
  <c r="V216" i="28"/>
  <c r="S216" i="28"/>
  <c r="P216" i="28"/>
  <c r="M216" i="28"/>
  <c r="J216" i="28"/>
  <c r="D216" i="28" s="1"/>
  <c r="G216" i="28"/>
  <c r="C216" i="28"/>
  <c r="B216" i="28"/>
  <c r="AB215" i="28"/>
  <c r="Y215" i="28"/>
  <c r="V215" i="28"/>
  <c r="S215" i="28"/>
  <c r="P215" i="28"/>
  <c r="M215" i="28"/>
  <c r="J215" i="28"/>
  <c r="G215" i="28"/>
  <c r="C215" i="28"/>
  <c r="B215" i="28"/>
  <c r="D215" i="28" l="1"/>
  <c r="G185" i="26"/>
  <c r="G188" i="26" s="1"/>
  <c r="G190" i="26" s="1"/>
  <c r="F86" i="26"/>
  <c r="G93" i="26"/>
  <c r="F93" i="26" s="1"/>
  <c r="F31" i="26"/>
  <c r="G46" i="26"/>
  <c r="F46" i="26" s="1"/>
  <c r="F51" i="26"/>
  <c r="F68" i="26"/>
  <c r="X243" i="28"/>
  <c r="G48" i="26" l="1"/>
  <c r="G61" i="26" s="1"/>
  <c r="F77" i="26"/>
  <c r="G100" i="26"/>
  <c r="U75" i="28"/>
  <c r="L75" i="28"/>
  <c r="AB280" i="28"/>
  <c r="Y280" i="28"/>
  <c r="V280" i="28"/>
  <c r="R280" i="28"/>
  <c r="C280" i="28" s="1"/>
  <c r="Q280" i="28"/>
  <c r="P280" i="28"/>
  <c r="M280" i="28"/>
  <c r="J280" i="28"/>
  <c r="G280" i="28"/>
  <c r="B280" i="28"/>
  <c r="H251" i="28"/>
  <c r="I251" i="28"/>
  <c r="K251" i="28"/>
  <c r="L251" i="28"/>
  <c r="M251" i="28" s="1"/>
  <c r="N251" i="28"/>
  <c r="O251" i="28"/>
  <c r="T251" i="28"/>
  <c r="U251" i="28"/>
  <c r="W251" i="28"/>
  <c r="X251" i="28"/>
  <c r="Z251" i="28"/>
  <c r="AA251" i="28"/>
  <c r="F251" i="28"/>
  <c r="E251" i="28"/>
  <c r="Y251" i="28" l="1"/>
  <c r="S280" i="28"/>
  <c r="F48" i="26"/>
  <c r="F61" i="26"/>
  <c r="F100" i="26"/>
  <c r="F78" i="26"/>
  <c r="D280" i="28"/>
  <c r="AB251" i="28"/>
  <c r="V251" i="28"/>
  <c r="P251" i="28"/>
  <c r="J251" i="28"/>
  <c r="L185" i="28"/>
  <c r="L317" i="28"/>
  <c r="AB184" i="28"/>
  <c r="Y184" i="28"/>
  <c r="V184" i="28"/>
  <c r="S184" i="28"/>
  <c r="P184" i="28"/>
  <c r="M184" i="28"/>
  <c r="J184" i="28"/>
  <c r="G184" i="28"/>
  <c r="C184" i="28"/>
  <c r="B184" i="28"/>
  <c r="R377" i="28"/>
  <c r="L312" i="28"/>
  <c r="L160" i="28"/>
  <c r="M160" i="28" s="1"/>
  <c r="AB160" i="28"/>
  <c r="Y160" i="28"/>
  <c r="V160" i="28"/>
  <c r="S160" i="28"/>
  <c r="P160" i="28"/>
  <c r="J160" i="28"/>
  <c r="G160" i="28"/>
  <c r="C160" i="28"/>
  <c r="B160" i="28"/>
  <c r="O358" i="28"/>
  <c r="AA412" i="28"/>
  <c r="Z412" i="28"/>
  <c r="X412" i="28"/>
  <c r="W412" i="28"/>
  <c r="U412" i="28"/>
  <c r="T412" i="28"/>
  <c r="R412" i="28"/>
  <c r="Q412" i="28"/>
  <c r="O412" i="28"/>
  <c r="N412" i="28"/>
  <c r="L412" i="28"/>
  <c r="K412" i="28"/>
  <c r="I412" i="28"/>
  <c r="H412" i="28"/>
  <c r="F412" i="28"/>
  <c r="E412" i="28"/>
  <c r="B413" i="28"/>
  <c r="AB413" i="28"/>
  <c r="Y413" i="28"/>
  <c r="V413" i="28"/>
  <c r="S413" i="28"/>
  <c r="P413" i="28"/>
  <c r="M413" i="28"/>
  <c r="J413" i="28"/>
  <c r="G413" i="28"/>
  <c r="C413" i="28"/>
  <c r="L357" i="28"/>
  <c r="AB243" i="28"/>
  <c r="Y243" i="28"/>
  <c r="V243" i="28"/>
  <c r="S243" i="28"/>
  <c r="P243" i="28"/>
  <c r="M243" i="28"/>
  <c r="J243" i="28"/>
  <c r="G243" i="28"/>
  <c r="C243" i="28"/>
  <c r="B243" i="28"/>
  <c r="AB262" i="28"/>
  <c r="Y262" i="28"/>
  <c r="V262" i="28"/>
  <c r="S262" i="28"/>
  <c r="P262" i="28"/>
  <c r="M262" i="28"/>
  <c r="J262" i="28"/>
  <c r="G262" i="28"/>
  <c r="C262" i="28"/>
  <c r="B262" i="28"/>
  <c r="AB261" i="28"/>
  <c r="Y261" i="28"/>
  <c r="V261" i="28"/>
  <c r="S261" i="28"/>
  <c r="P261" i="28"/>
  <c r="M261" i="28"/>
  <c r="J261" i="28"/>
  <c r="G261" i="28"/>
  <c r="C261" i="28"/>
  <c r="B261" i="28"/>
  <c r="AB247" i="28"/>
  <c r="Y247" i="28"/>
  <c r="V247" i="28"/>
  <c r="S247" i="28"/>
  <c r="P247" i="28"/>
  <c r="M247" i="28"/>
  <c r="J247" i="28"/>
  <c r="G247" i="28"/>
  <c r="C247" i="28"/>
  <c r="B247" i="28"/>
  <c r="AB246" i="28"/>
  <c r="Y246" i="28"/>
  <c r="V246" i="28"/>
  <c r="S246" i="28"/>
  <c r="P246" i="28"/>
  <c r="M246" i="28"/>
  <c r="J246" i="28"/>
  <c r="G246" i="28"/>
  <c r="C246" i="28"/>
  <c r="B246" i="28"/>
  <c r="AB245" i="28"/>
  <c r="Y245" i="28"/>
  <c r="V245" i="28"/>
  <c r="S245" i="28"/>
  <c r="P245" i="28"/>
  <c r="M245" i="28"/>
  <c r="J245" i="28"/>
  <c r="G245" i="28"/>
  <c r="C245" i="28"/>
  <c r="B245" i="28"/>
  <c r="L222" i="28"/>
  <c r="AB219" i="28"/>
  <c r="Y219" i="28"/>
  <c r="V219" i="28"/>
  <c r="S219" i="28"/>
  <c r="P219" i="28"/>
  <c r="M219" i="28"/>
  <c r="J219" i="28"/>
  <c r="G219" i="28"/>
  <c r="C219" i="28"/>
  <c r="B219" i="28"/>
  <c r="L43" i="28"/>
  <c r="G102" i="26" l="1"/>
  <c r="F102" i="26" s="1"/>
  <c r="AB412" i="28"/>
  <c r="D413" i="28"/>
  <c r="G412" i="28"/>
  <c r="D262" i="28"/>
  <c r="D160" i="28"/>
  <c r="D247" i="28"/>
  <c r="D246" i="28"/>
  <c r="D261" i="28"/>
  <c r="D184" i="28"/>
  <c r="B412" i="28"/>
  <c r="D243" i="28"/>
  <c r="D245" i="28"/>
  <c r="D219" i="28"/>
  <c r="AB362" i="28" l="1"/>
  <c r="Y362" i="28"/>
  <c r="V362" i="28"/>
  <c r="S362" i="28"/>
  <c r="C362" i="28"/>
  <c r="M362" i="28"/>
  <c r="J362" i="28"/>
  <c r="G362" i="28"/>
  <c r="B362" i="28"/>
  <c r="O167" i="28"/>
  <c r="P362" i="28" l="1"/>
  <c r="D362" i="28" s="1"/>
  <c r="E12" i="29"/>
  <c r="D16" i="29"/>
  <c r="D15" i="29" s="1"/>
  <c r="E16" i="29"/>
  <c r="E15" i="29" s="1"/>
  <c r="E22" i="29"/>
  <c r="E10" i="29" s="1"/>
  <c r="D22" i="29"/>
  <c r="E19" i="29"/>
  <c r="D19" i="29"/>
  <c r="D12" i="29"/>
  <c r="D11" i="29" s="1"/>
  <c r="E11" i="29"/>
  <c r="AA231" i="28" l="1"/>
  <c r="Z231" i="28"/>
  <c r="I340" i="28"/>
  <c r="F340" i="28"/>
  <c r="F161" i="28"/>
  <c r="F72" i="28"/>
  <c r="X75" i="28" l="1"/>
  <c r="H194" i="28"/>
  <c r="I194" i="28"/>
  <c r="K194" i="28"/>
  <c r="L194" i="28"/>
  <c r="N194" i="28"/>
  <c r="O194" i="28"/>
  <c r="Q194" i="28"/>
  <c r="R194" i="28"/>
  <c r="T194" i="28"/>
  <c r="U194" i="28"/>
  <c r="W194" i="28"/>
  <c r="X194" i="28"/>
  <c r="Z194" i="28"/>
  <c r="AA194" i="28"/>
  <c r="F194" i="28"/>
  <c r="E194" i="28"/>
  <c r="AB195" i="28"/>
  <c r="Y195" i="28"/>
  <c r="V195" i="28"/>
  <c r="S195" i="28"/>
  <c r="P195" i="28"/>
  <c r="M195" i="28"/>
  <c r="J195" i="28"/>
  <c r="G195" i="28"/>
  <c r="C195" i="28"/>
  <c r="B195" i="28"/>
  <c r="L346" i="28"/>
  <c r="M346" i="28" s="1"/>
  <c r="I346" i="28"/>
  <c r="I344" i="28"/>
  <c r="I114" i="28"/>
  <c r="Z230" i="28"/>
  <c r="J346" i="28"/>
  <c r="L97" i="28"/>
  <c r="L68" i="28"/>
  <c r="L344" i="28"/>
  <c r="C344" i="28" s="1"/>
  <c r="F346" i="28"/>
  <c r="F150" i="28"/>
  <c r="F41" i="28"/>
  <c r="E41" i="28"/>
  <c r="E37" i="28" s="1"/>
  <c r="E36" i="28" s="1"/>
  <c r="L41" i="28"/>
  <c r="Z420" i="28"/>
  <c r="Z419" i="28" s="1"/>
  <c r="Z418" i="28" s="1"/>
  <c r="Z416" i="28"/>
  <c r="Z415" i="28" s="1"/>
  <c r="Z411" i="28"/>
  <c r="Z406" i="28"/>
  <c r="Z405" i="28" s="1"/>
  <c r="Z401" i="28"/>
  <c r="Z400" i="28" s="1"/>
  <c r="Z397" i="28"/>
  <c r="Z395" i="28"/>
  <c r="Z393" i="28"/>
  <c r="Z390" i="28"/>
  <c r="Z384" i="28"/>
  <c r="Z379" i="28"/>
  <c r="Z376" i="28"/>
  <c r="Z358" i="28"/>
  <c r="Z350" i="28"/>
  <c r="Z347" i="28"/>
  <c r="Z344" i="28"/>
  <c r="Z337" i="28"/>
  <c r="Z329" i="28" s="1"/>
  <c r="Z323" i="28"/>
  <c r="Z319" i="28"/>
  <c r="Z314" i="28"/>
  <c r="Z311" i="28"/>
  <c r="Z308" i="28"/>
  <c r="Z305" i="28"/>
  <c r="Z300" i="28"/>
  <c r="Z293" i="28"/>
  <c r="Z291" i="28"/>
  <c r="Z283" i="28"/>
  <c r="Z278" i="28"/>
  <c r="Z276" i="28"/>
  <c r="Z270" i="28"/>
  <c r="Z265" i="28"/>
  <c r="Z234" i="28"/>
  <c r="Z210" i="28"/>
  <c r="Z203" i="28"/>
  <c r="Z198" i="28"/>
  <c r="Z192" i="28"/>
  <c r="Z188" i="28"/>
  <c r="Z186" i="28"/>
  <c r="Z179" i="28"/>
  <c r="Z171" i="28"/>
  <c r="Z170" i="28" s="1"/>
  <c r="Z149" i="28"/>
  <c r="Z148" i="28" s="1"/>
  <c r="Z116" i="28"/>
  <c r="Z79" i="28"/>
  <c r="Z53" i="28"/>
  <c r="Z52" i="28" s="1"/>
  <c r="Z48" i="28"/>
  <c r="Z47" i="28" s="1"/>
  <c r="Z37" i="28"/>
  <c r="Z36" i="28" s="1"/>
  <c r="Z35" i="28"/>
  <c r="Z21" i="28" s="1"/>
  <c r="Z20" i="28" s="1"/>
  <c r="Z11" i="28"/>
  <c r="Z10" i="28" s="1"/>
  <c r="W420" i="28"/>
  <c r="W419" i="28" s="1"/>
  <c r="W418" i="28" s="1"/>
  <c r="W416" i="28"/>
  <c r="W415" i="28" s="1"/>
  <c r="W411" i="28"/>
  <c r="W406" i="28"/>
  <c r="W405" i="28" s="1"/>
  <c r="W401" i="28"/>
  <c r="W400" i="28" s="1"/>
  <c r="W397" i="28"/>
  <c r="W395" i="28"/>
  <c r="W393" i="28"/>
  <c r="W390" i="28"/>
  <c r="W384" i="28"/>
  <c r="W379" i="28"/>
  <c r="W376" i="28"/>
  <c r="W358" i="28"/>
  <c r="W350" i="28"/>
  <c r="W347" i="28"/>
  <c r="W329" i="28"/>
  <c r="W323" i="28"/>
  <c r="W319" i="28"/>
  <c r="W314" i="28"/>
  <c r="W311" i="28"/>
  <c r="W308" i="28"/>
  <c r="W305" i="28"/>
  <c r="W300" i="28"/>
  <c r="W293" i="28"/>
  <c r="W291" i="28"/>
  <c r="W283" i="28"/>
  <c r="W278" i="28"/>
  <c r="W276" i="28"/>
  <c r="W270" i="28"/>
  <c r="W265" i="28"/>
  <c r="W234" i="28"/>
  <c r="W230" i="28"/>
  <c r="W210" i="28"/>
  <c r="W203" i="28"/>
  <c r="W198" i="28"/>
  <c r="W192" i="28"/>
  <c r="W188" i="28"/>
  <c r="W186" i="28"/>
  <c r="W179" i="28"/>
  <c r="W171" i="28"/>
  <c r="W170" i="28" s="1"/>
  <c r="W149" i="28"/>
  <c r="W148" i="28" s="1"/>
  <c r="W116" i="28"/>
  <c r="W79" i="28"/>
  <c r="W53" i="28"/>
  <c r="W52" i="28" s="1"/>
  <c r="W48" i="28"/>
  <c r="W47" i="28" s="1"/>
  <c r="W37" i="28"/>
  <c r="W36" i="28" s="1"/>
  <c r="W21" i="28"/>
  <c r="W20" i="28" s="1"/>
  <c r="W11" i="28"/>
  <c r="W10" i="28" s="1"/>
  <c r="T420" i="28"/>
  <c r="T419" i="28" s="1"/>
  <c r="T418" i="28" s="1"/>
  <c r="T416" i="28"/>
  <c r="T415" i="28" s="1"/>
  <c r="T411" i="28"/>
  <c r="T406" i="28"/>
  <c r="T405" i="28" s="1"/>
  <c r="T401" i="28"/>
  <c r="T400" i="28" s="1"/>
  <c r="T397" i="28"/>
  <c r="T395" i="28"/>
  <c r="T393" i="28"/>
  <c r="T390" i="28"/>
  <c r="T384" i="28"/>
  <c r="T379" i="28"/>
  <c r="T376" i="28"/>
  <c r="T358" i="28"/>
  <c r="T350" i="28"/>
  <c r="T347" i="28"/>
  <c r="T336" i="28"/>
  <c r="T329" i="28" s="1"/>
  <c r="T323" i="28"/>
  <c r="T319" i="28"/>
  <c r="T314" i="28"/>
  <c r="T311" i="28"/>
  <c r="T308" i="28"/>
  <c r="T305" i="28"/>
  <c r="T300" i="28"/>
  <c r="T293" i="28"/>
  <c r="T291" i="28"/>
  <c r="T283" i="28"/>
  <c r="T278" i="28"/>
  <c r="T276" i="28"/>
  <c r="T270" i="28"/>
  <c r="T265" i="28"/>
  <c r="T234" i="28"/>
  <c r="T230" i="28"/>
  <c r="T211" i="28"/>
  <c r="T210" i="28" s="1"/>
  <c r="T203" i="28"/>
  <c r="T198" i="28"/>
  <c r="T192" i="28"/>
  <c r="T188" i="28"/>
  <c r="T186" i="28"/>
  <c r="T179" i="28"/>
  <c r="T171" i="28"/>
  <c r="T170" i="28" s="1"/>
  <c r="T149" i="28"/>
  <c r="T148" i="28" s="1"/>
  <c r="T116" i="28"/>
  <c r="T79" i="28"/>
  <c r="T77" i="28"/>
  <c r="T53" i="28"/>
  <c r="T52" i="28" s="1"/>
  <c r="T48" i="28"/>
  <c r="T47" i="28" s="1"/>
  <c r="T37" i="28"/>
  <c r="T36" i="28" s="1"/>
  <c r="T33" i="28"/>
  <c r="T31" i="28"/>
  <c r="T21" i="28" s="1"/>
  <c r="T20" i="28" s="1"/>
  <c r="T11" i="28"/>
  <c r="T10" i="28" s="1"/>
  <c r="Q420" i="28"/>
  <c r="Q419" i="28" s="1"/>
  <c r="Q418" i="28" s="1"/>
  <c r="Q416" i="28"/>
  <c r="Q415" i="28" s="1"/>
  <c r="Q411" i="28"/>
  <c r="Q406" i="28"/>
  <c r="Q405" i="28" s="1"/>
  <c r="Q401" i="28"/>
  <c r="Q400" i="28" s="1"/>
  <c r="Q397" i="28"/>
  <c r="Q395" i="28"/>
  <c r="Q393" i="28"/>
  <c r="Q390" i="28"/>
  <c r="Q384" i="28"/>
  <c r="Q379" i="28"/>
  <c r="Q377" i="28"/>
  <c r="Q376" i="28" s="1"/>
  <c r="Q358" i="28"/>
  <c r="Q350" i="28"/>
  <c r="Q347" i="28"/>
  <c r="Q329" i="28"/>
  <c r="Q323" i="28"/>
  <c r="Q319" i="28"/>
  <c r="Q314" i="28"/>
  <c r="Q311" i="28"/>
  <c r="Q308" i="28"/>
  <c r="Q305" i="28"/>
  <c r="Q300" i="28"/>
  <c r="Q293" i="28"/>
  <c r="Q291" i="28"/>
  <c r="Q283" i="28"/>
  <c r="Q278" i="28"/>
  <c r="Q276" i="28"/>
  <c r="Q271" i="28"/>
  <c r="Q270" i="28" s="1"/>
  <c r="Q269" i="28"/>
  <c r="Q265" i="28" s="1"/>
  <c r="Q263" i="28"/>
  <c r="Q251" i="28" s="1"/>
  <c r="Q238" i="28"/>
  <c r="B238" i="28" s="1"/>
  <c r="Q235" i="28"/>
  <c r="Q230" i="28"/>
  <c r="Q229" i="28"/>
  <c r="Q227" i="28"/>
  <c r="B227" i="28" s="1"/>
  <c r="Q226" i="28"/>
  <c r="Q213" i="28"/>
  <c r="Q203" i="28"/>
  <c r="Q202" i="28"/>
  <c r="Q198" i="28" s="1"/>
  <c r="Q192" i="28"/>
  <c r="Q188" i="28"/>
  <c r="Q186" i="28"/>
  <c r="Q179" i="28"/>
  <c r="Q171" i="28"/>
  <c r="Q170" i="28" s="1"/>
  <c r="Q149" i="28"/>
  <c r="Q148" i="28" s="1"/>
  <c r="Q116" i="28"/>
  <c r="Q79" i="28"/>
  <c r="Q53" i="28"/>
  <c r="Q52" i="28" s="1"/>
  <c r="Q50" i="28"/>
  <c r="Q48" i="28" s="1"/>
  <c r="Q47" i="28" s="1"/>
  <c r="Q37" i="28"/>
  <c r="Q36" i="28" s="1"/>
  <c r="Q21" i="28"/>
  <c r="Q20" i="28" s="1"/>
  <c r="Q11" i="28"/>
  <c r="Q10" i="28" s="1"/>
  <c r="N420" i="28"/>
  <c r="N419" i="28" s="1"/>
  <c r="N418" i="28" s="1"/>
  <c r="N416" i="28"/>
  <c r="N415" i="28" s="1"/>
  <c r="N411" i="28"/>
  <c r="N406" i="28"/>
  <c r="N405" i="28" s="1"/>
  <c r="N401" i="28"/>
  <c r="N400" i="28" s="1"/>
  <c r="N397" i="28"/>
  <c r="N395" i="28"/>
  <c r="N393" i="28"/>
  <c r="N390" i="28"/>
  <c r="N384" i="28"/>
  <c r="N380" i="28"/>
  <c r="N379" i="28" s="1"/>
  <c r="N376" i="28"/>
  <c r="N358" i="28"/>
  <c r="N350" i="28"/>
  <c r="N347" i="28"/>
  <c r="N329" i="28"/>
  <c r="N323" i="28"/>
  <c r="N319" i="28"/>
  <c r="N314" i="28"/>
  <c r="N311" i="28"/>
  <c r="N308" i="28"/>
  <c r="N307" i="28"/>
  <c r="N306" i="28"/>
  <c r="N303" i="28"/>
  <c r="N300" i="28" s="1"/>
  <c r="N293" i="28"/>
  <c r="N291" i="28"/>
  <c r="N290" i="28"/>
  <c r="N283" i="28" s="1"/>
  <c r="N278" i="28"/>
  <c r="N276" i="28"/>
  <c r="N270" i="28"/>
  <c r="N265" i="28"/>
  <c r="N234" i="28"/>
  <c r="N230" i="28"/>
  <c r="N210" i="28"/>
  <c r="N203" i="28"/>
  <c r="N198" i="28"/>
  <c r="N192" i="28"/>
  <c r="N188" i="28"/>
  <c r="N186" i="28"/>
  <c r="N179" i="28"/>
  <c r="N172" i="28"/>
  <c r="N171" i="28"/>
  <c r="N170" i="28" s="1"/>
  <c r="N167" i="28"/>
  <c r="N166" i="28"/>
  <c r="N149" i="28" s="1"/>
  <c r="N148" i="28" s="1"/>
  <c r="N116" i="28"/>
  <c r="N79" i="28"/>
  <c r="N63" i="28"/>
  <c r="N54" i="28"/>
  <c r="N48" i="28"/>
  <c r="N47" i="28" s="1"/>
  <c r="N37" i="28"/>
  <c r="N36" i="28" s="1"/>
  <c r="N21" i="28"/>
  <c r="N20" i="28" s="1"/>
  <c r="N11" i="28"/>
  <c r="N10" i="28" s="1"/>
  <c r="K420" i="28"/>
  <c r="K419" i="28" s="1"/>
  <c r="K418" i="28" s="1"/>
  <c r="K417" i="28"/>
  <c r="K416" i="28" s="1"/>
  <c r="K415" i="28" s="1"/>
  <c r="K411" i="28"/>
  <c r="K406" i="28"/>
  <c r="K405" i="28" s="1"/>
  <c r="K401" i="28"/>
  <c r="K400" i="28" s="1"/>
  <c r="K397" i="28"/>
  <c r="K395" i="28"/>
  <c r="K393" i="28"/>
  <c r="K390" i="28"/>
  <c r="K384" i="28"/>
  <c r="K381" i="28"/>
  <c r="K379" i="28" s="1"/>
  <c r="K376" i="28"/>
  <c r="K369" i="28"/>
  <c r="B369" i="28" s="1"/>
  <c r="K365" i="28"/>
  <c r="K364" i="28"/>
  <c r="K359" i="28"/>
  <c r="K357" i="28"/>
  <c r="K355" i="28"/>
  <c r="B355" i="28" s="1"/>
  <c r="K347" i="28"/>
  <c r="K343" i="28"/>
  <c r="K338" i="28"/>
  <c r="K335" i="28"/>
  <c r="B335" i="28" s="1"/>
  <c r="K332" i="28"/>
  <c r="K325" i="28"/>
  <c r="K323" i="28"/>
  <c r="K319" i="28"/>
  <c r="K314" i="28"/>
  <c r="K311" i="28"/>
  <c r="K308" i="28"/>
  <c r="K305" i="28"/>
  <c r="K300" i="28"/>
  <c r="K293" i="28"/>
  <c r="K291" i="28"/>
  <c r="K284" i="28"/>
  <c r="K283" i="28" s="1"/>
  <c r="K278" i="28"/>
  <c r="K276" i="28"/>
  <c r="K270" i="28"/>
  <c r="K265" i="28"/>
  <c r="K240" i="28"/>
  <c r="K234" i="28"/>
  <c r="K231" i="28"/>
  <c r="K230" i="28" s="1"/>
  <c r="K228" i="28"/>
  <c r="B228" i="28" s="1"/>
  <c r="K217" i="28"/>
  <c r="K212" i="28"/>
  <c r="K204" i="28"/>
  <c r="K198" i="28"/>
  <c r="K192" i="28"/>
  <c r="K191" i="28"/>
  <c r="K188" i="28" s="1"/>
  <c r="K186" i="28"/>
  <c r="K185" i="28"/>
  <c r="K179" i="28" s="1"/>
  <c r="K180" i="28"/>
  <c r="K171" i="28"/>
  <c r="K170" i="28" s="1"/>
  <c r="K149" i="28"/>
  <c r="K148" i="28" s="1"/>
  <c r="K116" i="28"/>
  <c r="K114" i="28"/>
  <c r="K108" i="28"/>
  <c r="B108" i="28" s="1"/>
  <c r="K105" i="28"/>
  <c r="B105" i="28" s="1"/>
  <c r="K102" i="28"/>
  <c r="B102" i="28" s="1"/>
  <c r="K101" i="28"/>
  <c r="K98" i="28"/>
  <c r="K97" i="28"/>
  <c r="B97" i="28" s="1"/>
  <c r="K91" i="28"/>
  <c r="K79" i="28" s="1"/>
  <c r="K82" i="28"/>
  <c r="K80" i="28"/>
  <c r="K53" i="28"/>
  <c r="K52" i="28" s="1"/>
  <c r="K48" i="28"/>
  <c r="K47" i="28" s="1"/>
  <c r="K41" i="28"/>
  <c r="M41" i="28" s="1"/>
  <c r="K40" i="28"/>
  <c r="K37" i="28" s="1"/>
  <c r="K21" i="28"/>
  <c r="K20" i="28" s="1"/>
  <c r="K11" i="28"/>
  <c r="K10" i="28" s="1"/>
  <c r="H420" i="28"/>
  <c r="H419" i="28" s="1"/>
  <c r="H418" i="28" s="1"/>
  <c r="H416" i="28"/>
  <c r="H415" i="28" s="1"/>
  <c r="H411" i="28"/>
  <c r="H406" i="28"/>
  <c r="H405" i="28" s="1"/>
  <c r="H401" i="28"/>
  <c r="H400" i="28" s="1"/>
  <c r="H397" i="28"/>
  <c r="H395" i="28"/>
  <c r="H393" i="28"/>
  <c r="H390" i="28"/>
  <c r="H384" i="28"/>
  <c r="H379" i="28"/>
  <c r="H376" i="28"/>
  <c r="H358" i="28"/>
  <c r="H350" i="28"/>
  <c r="H347" i="28"/>
  <c r="H344" i="28"/>
  <c r="H329" i="28" s="1"/>
  <c r="H323" i="28"/>
  <c r="H319" i="28"/>
  <c r="H314" i="28"/>
  <c r="H311" i="28"/>
  <c r="H308" i="28"/>
  <c r="H305" i="28"/>
  <c r="H300" i="28"/>
  <c r="H293" i="28"/>
  <c r="H291" i="28"/>
  <c r="H283" i="28"/>
  <c r="H278" i="28"/>
  <c r="H276" i="28"/>
  <c r="H270" i="28"/>
  <c r="H265" i="28"/>
  <c r="H234" i="28"/>
  <c r="H230" i="28"/>
  <c r="H210" i="28"/>
  <c r="H203" i="28"/>
  <c r="H198" i="28"/>
  <c r="H192" i="28"/>
  <c r="H188" i="28"/>
  <c r="H186" i="28"/>
  <c r="H179" i="28"/>
  <c r="H171" i="28"/>
  <c r="H170" i="28" s="1"/>
  <c r="H153" i="28"/>
  <c r="H149" i="28" s="1"/>
  <c r="H116" i="28"/>
  <c r="H95" i="28"/>
  <c r="H89" i="28"/>
  <c r="B89" i="28" s="1"/>
  <c r="H82" i="28"/>
  <c r="H80" i="28"/>
  <c r="H57" i="28"/>
  <c r="H53" i="28" s="1"/>
  <c r="H48" i="28"/>
  <c r="H47" i="28" s="1"/>
  <c r="H37" i="28"/>
  <c r="H36" i="28" s="1"/>
  <c r="H21" i="28"/>
  <c r="H20" i="28" s="1"/>
  <c r="H18" i="28"/>
  <c r="H11" i="28" s="1"/>
  <c r="H10" i="28" s="1"/>
  <c r="E420" i="28"/>
  <c r="E419" i="28" s="1"/>
  <c r="E418" i="28" s="1"/>
  <c r="E416" i="28"/>
  <c r="E415" i="28" s="1"/>
  <c r="E411" i="28"/>
  <c r="E406" i="28"/>
  <c r="E405" i="28" s="1"/>
  <c r="E401" i="28"/>
  <c r="E400" i="28" s="1"/>
  <c r="E397" i="28"/>
  <c r="E395" i="28"/>
  <c r="E393" i="28"/>
  <c r="E390" i="28"/>
  <c r="E384" i="28"/>
  <c r="E379" i="28"/>
  <c r="E376" i="28"/>
  <c r="E358" i="28"/>
  <c r="E350" i="28"/>
  <c r="E347" i="28"/>
  <c r="E339" i="28"/>
  <c r="E329" i="28" s="1"/>
  <c r="E323" i="28"/>
  <c r="E319" i="28"/>
  <c r="E314" i="28"/>
  <c r="E311" i="28"/>
  <c r="E308" i="28"/>
  <c r="E305" i="28"/>
  <c r="E300" i="28"/>
  <c r="E293" i="28"/>
  <c r="E291" i="28"/>
  <c r="E283" i="28"/>
  <c r="E278" i="28"/>
  <c r="E276" i="28"/>
  <c r="E270" i="28"/>
  <c r="E265" i="28"/>
  <c r="E234" i="28"/>
  <c r="E231" i="28"/>
  <c r="E230" i="28" s="1"/>
  <c r="E210" i="28"/>
  <c r="E203" i="28"/>
  <c r="E198" i="28"/>
  <c r="E192" i="28"/>
  <c r="E188" i="28"/>
  <c r="E186" i="28"/>
  <c r="E179" i="28"/>
  <c r="E171" i="28"/>
  <c r="E170" i="28" s="1"/>
  <c r="E152" i="28"/>
  <c r="E149" i="28" s="1"/>
  <c r="E148" i="28" s="1"/>
  <c r="E116" i="28"/>
  <c r="E79" i="28"/>
  <c r="E72" i="28"/>
  <c r="B72" i="28" s="1"/>
  <c r="E53" i="28"/>
  <c r="E52" i="28" s="1"/>
  <c r="E48" i="28"/>
  <c r="E47" i="28" s="1"/>
  <c r="E45" i="28"/>
  <c r="B45" i="28" s="1"/>
  <c r="E32" i="28"/>
  <c r="B32" i="28" s="1"/>
  <c r="E22" i="28"/>
  <c r="E11" i="28"/>
  <c r="E10" i="28" s="1"/>
  <c r="AB421" i="28"/>
  <c r="Y421" i="28"/>
  <c r="V421" i="28"/>
  <c r="S421" i="28"/>
  <c r="P421" i="28"/>
  <c r="M421" i="28"/>
  <c r="J421" i="28"/>
  <c r="G421" i="28"/>
  <c r="C421" i="28"/>
  <c r="B421" i="28"/>
  <c r="AA420" i="28"/>
  <c r="X420" i="28"/>
  <c r="U420" i="28"/>
  <c r="R420" i="28"/>
  <c r="R419" i="28" s="1"/>
  <c r="R418" i="28" s="1"/>
  <c r="O420" i="28"/>
  <c r="L420" i="28"/>
  <c r="L419" i="28" s="1"/>
  <c r="L418" i="28" s="1"/>
  <c r="I420" i="28"/>
  <c r="I419" i="28" s="1"/>
  <c r="F420" i="28"/>
  <c r="AA419" i="28"/>
  <c r="AA418" i="28" s="1"/>
  <c r="AB417" i="28"/>
  <c r="Y417" i="28"/>
  <c r="V417" i="28"/>
  <c r="S417" i="28"/>
  <c r="P417" i="28"/>
  <c r="L417" i="28"/>
  <c r="C417" i="28" s="1"/>
  <c r="J417" i="28"/>
  <c r="G417" i="28"/>
  <c r="AA416" i="28"/>
  <c r="AA415" i="28" s="1"/>
  <c r="X416" i="28"/>
  <c r="X415" i="28" s="1"/>
  <c r="U416" i="28"/>
  <c r="R416" i="28"/>
  <c r="R415" i="28" s="1"/>
  <c r="O416" i="28"/>
  <c r="O415" i="28" s="1"/>
  <c r="I416" i="28"/>
  <c r="F416" i="28"/>
  <c r="F415" i="28" s="1"/>
  <c r="AB414" i="28"/>
  <c r="Y414" i="28"/>
  <c r="V414" i="28"/>
  <c r="S414" i="28"/>
  <c r="P414" i="28"/>
  <c r="M414" i="28"/>
  <c r="J414" i="28"/>
  <c r="G414" i="28"/>
  <c r="C414" i="28"/>
  <c r="B414" i="28"/>
  <c r="X411" i="28"/>
  <c r="U411" i="28"/>
  <c r="R411" i="28"/>
  <c r="P412" i="28"/>
  <c r="AB410" i="28"/>
  <c r="Y410" i="28"/>
  <c r="V410" i="28"/>
  <c r="S410" i="28"/>
  <c r="P410" i="28"/>
  <c r="M410" i="28"/>
  <c r="J410" i="28"/>
  <c r="G410" i="28"/>
  <c r="C410" i="28"/>
  <c r="B410" i="28"/>
  <c r="AB409" i="28"/>
  <c r="Y409" i="28"/>
  <c r="V409" i="28"/>
  <c r="S409" i="28"/>
  <c r="P409" i="28"/>
  <c r="M409" i="28"/>
  <c r="J409" i="28"/>
  <c r="G409" i="28"/>
  <c r="C409" i="28"/>
  <c r="B409" i="28"/>
  <c r="AB408" i="28"/>
  <c r="Y408" i="28"/>
  <c r="V408" i="28"/>
  <c r="S408" i="28"/>
  <c r="P408" i="28"/>
  <c r="M408" i="28"/>
  <c r="J408" i="28"/>
  <c r="G408" i="28"/>
  <c r="C408" i="28"/>
  <c r="B408" i="28"/>
  <c r="AB407" i="28"/>
  <c r="Y407" i="28"/>
  <c r="V407" i="28"/>
  <c r="S407" i="28"/>
  <c r="P407" i="28"/>
  <c r="M407" i="28"/>
  <c r="J407" i="28"/>
  <c r="G407" i="28"/>
  <c r="C407" i="28"/>
  <c r="B407" i="28"/>
  <c r="AA406" i="28"/>
  <c r="X406" i="28"/>
  <c r="U406" i="28"/>
  <c r="R406" i="28"/>
  <c r="O406" i="28"/>
  <c r="O405" i="28" s="1"/>
  <c r="L406" i="28"/>
  <c r="I406" i="28"/>
  <c r="I405" i="28" s="1"/>
  <c r="F406" i="28"/>
  <c r="F405" i="28" s="1"/>
  <c r="AA405" i="28"/>
  <c r="X405" i="28"/>
  <c r="U405" i="28"/>
  <c r="R405" i="28"/>
  <c r="AB404" i="28"/>
  <c r="Y404" i="28"/>
  <c r="V404" i="28"/>
  <c r="S404" i="28"/>
  <c r="P404" i="28"/>
  <c r="M404" i="28"/>
  <c r="J404" i="28"/>
  <c r="G404" i="28"/>
  <c r="C404" i="28"/>
  <c r="B404" i="28"/>
  <c r="AB403" i="28"/>
  <c r="Y403" i="28"/>
  <c r="V403" i="28"/>
  <c r="S403" i="28"/>
  <c r="P403" i="28"/>
  <c r="M403" i="28"/>
  <c r="J403" i="28"/>
  <c r="G403" i="28"/>
  <c r="C403" i="28"/>
  <c r="B403" i="28"/>
  <c r="AB402" i="28"/>
  <c r="Y402" i="28"/>
  <c r="V402" i="28"/>
  <c r="S402" i="28"/>
  <c r="P402" i="28"/>
  <c r="M402" i="28"/>
  <c r="J402" i="28"/>
  <c r="G402" i="28"/>
  <c r="C402" i="28"/>
  <c r="B402" i="28"/>
  <c r="AA401" i="28"/>
  <c r="AA400" i="28" s="1"/>
  <c r="X401" i="28"/>
  <c r="U401" i="28"/>
  <c r="R401" i="28"/>
  <c r="R400" i="28" s="1"/>
  <c r="O401" i="28"/>
  <c r="L401" i="28"/>
  <c r="I401" i="28"/>
  <c r="F401" i="28"/>
  <c r="F400" i="28" s="1"/>
  <c r="O400" i="28"/>
  <c r="AB398" i="28"/>
  <c r="Y398" i="28"/>
  <c r="V398" i="28"/>
  <c r="S398" i="28"/>
  <c r="P398" i="28"/>
  <c r="M398" i="28"/>
  <c r="J398" i="28"/>
  <c r="G398" i="28"/>
  <c r="C398" i="28"/>
  <c r="B398" i="28"/>
  <c r="AA397" i="28"/>
  <c r="X397" i="28"/>
  <c r="U397" i="28"/>
  <c r="R397" i="28"/>
  <c r="O397" i="28"/>
  <c r="L397" i="28"/>
  <c r="I397" i="28"/>
  <c r="F397" i="28"/>
  <c r="AB396" i="28"/>
  <c r="Y396" i="28"/>
  <c r="V396" i="28"/>
  <c r="S396" i="28"/>
  <c r="P396" i="28"/>
  <c r="M396" i="28"/>
  <c r="J396" i="28"/>
  <c r="G396" i="28"/>
  <c r="C396" i="28"/>
  <c r="B396" i="28"/>
  <c r="AA395" i="28"/>
  <c r="X395" i="28"/>
  <c r="U395" i="28"/>
  <c r="R395" i="28"/>
  <c r="O395" i="28"/>
  <c r="L395" i="28"/>
  <c r="I395" i="28"/>
  <c r="F395" i="28"/>
  <c r="AB394" i="28"/>
  <c r="Y394" i="28"/>
  <c r="V394" i="28"/>
  <c r="S394" i="28"/>
  <c r="P394" i="28"/>
  <c r="M394" i="28"/>
  <c r="J394" i="28"/>
  <c r="G394" i="28"/>
  <c r="C394" i="28"/>
  <c r="B394" i="28"/>
  <c r="AA393" i="28"/>
  <c r="X393" i="28"/>
  <c r="U393" i="28"/>
  <c r="R393" i="28"/>
  <c r="O393" i="28"/>
  <c r="L393" i="28"/>
  <c r="I393" i="28"/>
  <c r="F393" i="28"/>
  <c r="AB392" i="28"/>
  <c r="Y392" i="28"/>
  <c r="V392" i="28"/>
  <c r="S392" i="28"/>
  <c r="P392" i="28"/>
  <c r="M392" i="28"/>
  <c r="J392" i="28"/>
  <c r="G392" i="28"/>
  <c r="C392" i="28"/>
  <c r="B392" i="28"/>
  <c r="AB391" i="28"/>
  <c r="Y391" i="28"/>
  <c r="V391" i="28"/>
  <c r="S391" i="28"/>
  <c r="P391" i="28"/>
  <c r="M391" i="28"/>
  <c r="J391" i="28"/>
  <c r="G391" i="28"/>
  <c r="C391" i="28"/>
  <c r="B391" i="28"/>
  <c r="AA390" i="28"/>
  <c r="X390" i="28"/>
  <c r="U390" i="28"/>
  <c r="R390" i="28"/>
  <c r="O390" i="28"/>
  <c r="L390" i="28"/>
  <c r="I390" i="28"/>
  <c r="F390" i="28"/>
  <c r="AB388" i="28"/>
  <c r="Y388" i="28"/>
  <c r="V388" i="28"/>
  <c r="S388" i="28"/>
  <c r="P388" i="28"/>
  <c r="M388" i="28"/>
  <c r="J388" i="28"/>
  <c r="G388" i="28"/>
  <c r="C388" i="28"/>
  <c r="B388" i="28"/>
  <c r="AB387" i="28"/>
  <c r="Y387" i="28"/>
  <c r="V387" i="28"/>
  <c r="S387" i="28"/>
  <c r="P387" i="28"/>
  <c r="M387" i="28"/>
  <c r="J387" i="28"/>
  <c r="G387" i="28"/>
  <c r="C387" i="28"/>
  <c r="B387" i="28"/>
  <c r="AB386" i="28"/>
  <c r="Y386" i="28"/>
  <c r="V386" i="28"/>
  <c r="S386" i="28"/>
  <c r="P386" i="28"/>
  <c r="M386" i="28"/>
  <c r="J386" i="28"/>
  <c r="G386" i="28"/>
  <c r="C386" i="28"/>
  <c r="B386" i="28"/>
  <c r="AB385" i="28"/>
  <c r="Y385" i="28"/>
  <c r="V385" i="28"/>
  <c r="S385" i="28"/>
  <c r="P385" i="28"/>
  <c r="M385" i="28"/>
  <c r="J385" i="28"/>
  <c r="G385" i="28"/>
  <c r="C385" i="28"/>
  <c r="B385" i="28"/>
  <c r="AA384" i="28"/>
  <c r="X384" i="28"/>
  <c r="U384" i="28"/>
  <c r="R384" i="28"/>
  <c r="O384" i="28"/>
  <c r="L384" i="28"/>
  <c r="I384" i="28"/>
  <c r="F384" i="28"/>
  <c r="AB383" i="28"/>
  <c r="Y383" i="28"/>
  <c r="V383" i="28"/>
  <c r="S383" i="28"/>
  <c r="P383" i="28"/>
  <c r="M383" i="28"/>
  <c r="J383" i="28"/>
  <c r="G383" i="28"/>
  <c r="C383" i="28"/>
  <c r="B383" i="28"/>
  <c r="AB382" i="28"/>
  <c r="Y382" i="28"/>
  <c r="V382" i="28"/>
  <c r="S382" i="28"/>
  <c r="P382" i="28"/>
  <c r="M382" i="28"/>
  <c r="J382" i="28"/>
  <c r="G382" i="28"/>
  <c r="C382" i="28"/>
  <c r="B382" i="28"/>
  <c r="AB381" i="28"/>
  <c r="Y381" i="28"/>
  <c r="V381" i="28"/>
  <c r="S381" i="28"/>
  <c r="P381" i="28"/>
  <c r="L381" i="28"/>
  <c r="C381" i="28" s="1"/>
  <c r="J381" i="28"/>
  <c r="G381" i="28"/>
  <c r="AB380" i="28"/>
  <c r="Y380" i="28"/>
  <c r="V380" i="28"/>
  <c r="S380" i="28"/>
  <c r="O380" i="28"/>
  <c r="M380" i="28"/>
  <c r="J380" i="28"/>
  <c r="G380" i="28"/>
  <c r="AA379" i="28"/>
  <c r="X379" i="28"/>
  <c r="U379" i="28"/>
  <c r="R379" i="28"/>
  <c r="L379" i="28"/>
  <c r="I379" i="28"/>
  <c r="F379" i="28"/>
  <c r="AB378" i="28"/>
  <c r="Y378" i="28"/>
  <c r="V378" i="28"/>
  <c r="S378" i="28"/>
  <c r="P378" i="28"/>
  <c r="M378" i="28"/>
  <c r="J378" i="28"/>
  <c r="G378" i="28"/>
  <c r="C378" i="28"/>
  <c r="B378" i="28"/>
  <c r="AB377" i="28"/>
  <c r="Y377" i="28"/>
  <c r="V377" i="28"/>
  <c r="P377" i="28"/>
  <c r="M377" i="28"/>
  <c r="J377" i="28"/>
  <c r="G377" i="28"/>
  <c r="C377" i="28"/>
  <c r="AA376" i="28"/>
  <c r="X376" i="28"/>
  <c r="U376" i="28"/>
  <c r="R376" i="28"/>
  <c r="O376" i="28"/>
  <c r="L376" i="28"/>
  <c r="I376" i="28"/>
  <c r="F376" i="28"/>
  <c r="AB375" i="28"/>
  <c r="Y375" i="28"/>
  <c r="V375" i="28"/>
  <c r="S375" i="28"/>
  <c r="P375" i="28"/>
  <c r="M375" i="28"/>
  <c r="J375" i="28"/>
  <c r="G375" i="28"/>
  <c r="C375" i="28"/>
  <c r="B375" i="28"/>
  <c r="AB374" i="28"/>
  <c r="Y374" i="28"/>
  <c r="V374" i="28"/>
  <c r="S374" i="28"/>
  <c r="P374" i="28"/>
  <c r="M374" i="28"/>
  <c r="J374" i="28"/>
  <c r="G374" i="28"/>
  <c r="C374" i="28"/>
  <c r="B374" i="28"/>
  <c r="AB373" i="28"/>
  <c r="Y373" i="28"/>
  <c r="V373" i="28"/>
  <c r="S373" i="28"/>
  <c r="P373" i="28"/>
  <c r="M373" i="28"/>
  <c r="J373" i="28"/>
  <c r="G373" i="28"/>
  <c r="C373" i="28"/>
  <c r="B373" i="28"/>
  <c r="AB372" i="28"/>
  <c r="Y372" i="28"/>
  <c r="V372" i="28"/>
  <c r="S372" i="28"/>
  <c r="P372" i="28"/>
  <c r="M372" i="28"/>
  <c r="J372" i="28"/>
  <c r="G372" i="28"/>
  <c r="C372" i="28"/>
  <c r="B372" i="28"/>
  <c r="AB371" i="28"/>
  <c r="Y371" i="28"/>
  <c r="V371" i="28"/>
  <c r="S371" i="28"/>
  <c r="P371" i="28"/>
  <c r="M371" i="28"/>
  <c r="J371" i="28"/>
  <c r="G371" i="28"/>
  <c r="C371" i="28"/>
  <c r="B371" i="28"/>
  <c r="AB370" i="28"/>
  <c r="Y370" i="28"/>
  <c r="V370" i="28"/>
  <c r="S370" i="28"/>
  <c r="P370" i="28"/>
  <c r="M370" i="28"/>
  <c r="J370" i="28"/>
  <c r="G370" i="28"/>
  <c r="C370" i="28"/>
  <c r="B370" i="28"/>
  <c r="AB369" i="28"/>
  <c r="Y369" i="28"/>
  <c r="V369" i="28"/>
  <c r="S369" i="28"/>
  <c r="P369" i="28"/>
  <c r="L369" i="28"/>
  <c r="C369" i="28" s="1"/>
  <c r="J369" i="28"/>
  <c r="G369" i="28"/>
  <c r="AB368" i="28"/>
  <c r="Y368" i="28"/>
  <c r="V368" i="28"/>
  <c r="S368" i="28"/>
  <c r="P368" i="28"/>
  <c r="M368" i="28"/>
  <c r="J368" i="28"/>
  <c r="G368" i="28"/>
  <c r="C368" i="28"/>
  <c r="B368" i="28"/>
  <c r="AB367" i="28"/>
  <c r="Y367" i="28"/>
  <c r="V367" i="28"/>
  <c r="S367" i="28"/>
  <c r="P367" i="28"/>
  <c r="M367" i="28"/>
  <c r="J367" i="28"/>
  <c r="G367" i="28"/>
  <c r="C367" i="28"/>
  <c r="B367" i="28"/>
  <c r="M366" i="28"/>
  <c r="D366" i="28" s="1"/>
  <c r="C366" i="28"/>
  <c r="B366" i="28"/>
  <c r="AB365" i="28"/>
  <c r="Y365" i="28"/>
  <c r="V365" i="28"/>
  <c r="S365" i="28"/>
  <c r="P365" i="28"/>
  <c r="L365" i="28"/>
  <c r="C365" i="28" s="1"/>
  <c r="J365" i="28"/>
  <c r="G365" i="28"/>
  <c r="AB364" i="28"/>
  <c r="Y364" i="28"/>
  <c r="V364" i="28"/>
  <c r="S364" i="28"/>
  <c r="P364" i="28"/>
  <c r="L364" i="28"/>
  <c r="M364" i="28" s="1"/>
  <c r="B364" i="28"/>
  <c r="J364" i="28"/>
  <c r="G364" i="28"/>
  <c r="C364" i="28"/>
  <c r="AB363" i="28"/>
  <c r="Y363" i="28"/>
  <c r="V363" i="28"/>
  <c r="S363" i="28"/>
  <c r="P363" i="28"/>
  <c r="M363" i="28"/>
  <c r="J363" i="28"/>
  <c r="G363" i="28"/>
  <c r="C363" i="28"/>
  <c r="B363" i="28"/>
  <c r="AB361" i="28"/>
  <c r="Y361" i="28"/>
  <c r="V361" i="28"/>
  <c r="S361" i="28"/>
  <c r="P361" i="28"/>
  <c r="M361" i="28"/>
  <c r="J361" i="28"/>
  <c r="G361" i="28"/>
  <c r="C361" i="28"/>
  <c r="B361" i="28"/>
  <c r="AB360" i="28"/>
  <c r="Y360" i="28"/>
  <c r="V360" i="28"/>
  <c r="S360" i="28"/>
  <c r="P360" i="28"/>
  <c r="M360" i="28"/>
  <c r="J360" i="28"/>
  <c r="G360" i="28"/>
  <c r="C360" i="28"/>
  <c r="B360" i="28"/>
  <c r="AB359" i="28"/>
  <c r="Y359" i="28"/>
  <c r="V359" i="28"/>
  <c r="S359" i="28"/>
  <c r="P359" i="28"/>
  <c r="L359" i="28"/>
  <c r="C359" i="28" s="1"/>
  <c r="J359" i="28"/>
  <c r="G359" i="28"/>
  <c r="B359" i="28"/>
  <c r="AA358" i="28"/>
  <c r="X358" i="28"/>
  <c r="U358" i="28"/>
  <c r="R358" i="28"/>
  <c r="I358" i="28"/>
  <c r="F358" i="28"/>
  <c r="AB357" i="28"/>
  <c r="Y357" i="28"/>
  <c r="V357" i="28"/>
  <c r="S357" i="28"/>
  <c r="P357" i="28"/>
  <c r="J357" i="28"/>
  <c r="G357" i="28"/>
  <c r="AB356" i="28"/>
  <c r="Y356" i="28"/>
  <c r="V356" i="28"/>
  <c r="S356" i="28"/>
  <c r="P356" i="28"/>
  <c r="M356" i="28"/>
  <c r="J356" i="28"/>
  <c r="G356" i="28"/>
  <c r="C356" i="28"/>
  <c r="B356" i="28"/>
  <c r="AB355" i="28"/>
  <c r="Y355" i="28"/>
  <c r="V355" i="28"/>
  <c r="S355" i="28"/>
  <c r="P355" i="28"/>
  <c r="L355" i="28"/>
  <c r="J355" i="28"/>
  <c r="G355" i="28"/>
  <c r="AB354" i="28"/>
  <c r="Y354" i="28"/>
  <c r="V354" i="28"/>
  <c r="S354" i="28"/>
  <c r="P354" i="28"/>
  <c r="M354" i="28"/>
  <c r="J354" i="28"/>
  <c r="G354" i="28"/>
  <c r="C354" i="28"/>
  <c r="B354" i="28"/>
  <c r="AB353" i="28"/>
  <c r="Y353" i="28"/>
  <c r="V353" i="28"/>
  <c r="S353" i="28"/>
  <c r="P353" i="28"/>
  <c r="M353" i="28"/>
  <c r="J353" i="28"/>
  <c r="G353" i="28"/>
  <c r="C353" i="28"/>
  <c r="B353" i="28"/>
  <c r="AB352" i="28"/>
  <c r="Y352" i="28"/>
  <c r="V352" i="28"/>
  <c r="S352" i="28"/>
  <c r="P352" i="28"/>
  <c r="M352" i="28"/>
  <c r="J352" i="28"/>
  <c r="G352" i="28"/>
  <c r="C352" i="28"/>
  <c r="B352" i="28"/>
  <c r="AB351" i="28"/>
  <c r="Y351" i="28"/>
  <c r="V351" i="28"/>
  <c r="S351" i="28"/>
  <c r="P351" i="28"/>
  <c r="M351" i="28"/>
  <c r="J351" i="28"/>
  <c r="G351" i="28"/>
  <c r="C351" i="28"/>
  <c r="B351" i="28"/>
  <c r="AA350" i="28"/>
  <c r="X350" i="28"/>
  <c r="U350" i="28"/>
  <c r="R350" i="28"/>
  <c r="O350" i="28"/>
  <c r="I350" i="28"/>
  <c r="F350" i="28"/>
  <c r="AB348" i="28"/>
  <c r="Y348" i="28"/>
  <c r="V348" i="28"/>
  <c r="S348" i="28"/>
  <c r="P348" i="28"/>
  <c r="M348" i="28"/>
  <c r="J348" i="28"/>
  <c r="G348" i="28"/>
  <c r="C348" i="28"/>
  <c r="B348" i="28"/>
  <c r="AA347" i="28"/>
  <c r="X347" i="28"/>
  <c r="U347" i="28"/>
  <c r="R347" i="28"/>
  <c r="O347" i="28"/>
  <c r="L347" i="28"/>
  <c r="I347" i="28"/>
  <c r="F347" i="28"/>
  <c r="AB346" i="28"/>
  <c r="Y346" i="28"/>
  <c r="V346" i="28"/>
  <c r="S346" i="28"/>
  <c r="P346" i="28"/>
  <c r="G346" i="28"/>
  <c r="B346" i="28"/>
  <c r="AB345" i="28"/>
  <c r="Y345" i="28"/>
  <c r="V345" i="28"/>
  <c r="S345" i="28"/>
  <c r="P345" i="28"/>
  <c r="M345" i="28"/>
  <c r="J345" i="28"/>
  <c r="G345" i="28"/>
  <c r="C345" i="28"/>
  <c r="B345" i="28"/>
  <c r="AA344" i="28"/>
  <c r="AB344" i="28" s="1"/>
  <c r="Y344" i="28"/>
  <c r="V344" i="28"/>
  <c r="S344" i="28"/>
  <c r="P344" i="28"/>
  <c r="M344" i="28"/>
  <c r="G344" i="28"/>
  <c r="B344" i="28"/>
  <c r="AB343" i="28"/>
  <c r="Y343" i="28"/>
  <c r="V343" i="28"/>
  <c r="S343" i="28"/>
  <c r="P343" i="28"/>
  <c r="L343" i="28"/>
  <c r="M343" i="28" s="1"/>
  <c r="J343" i="28"/>
  <c r="G343" i="28"/>
  <c r="B343" i="28"/>
  <c r="AB342" i="28"/>
  <c r="Y342" i="28"/>
  <c r="V342" i="28"/>
  <c r="S342" i="28"/>
  <c r="P342" i="28"/>
  <c r="M342" i="28"/>
  <c r="J342" i="28"/>
  <c r="G342" i="28"/>
  <c r="C342" i="28"/>
  <c r="B342" i="28"/>
  <c r="AB341" i="28"/>
  <c r="Y341" i="28"/>
  <c r="V341" i="28"/>
  <c r="S341" i="28"/>
  <c r="P341" i="28"/>
  <c r="M341" i="28"/>
  <c r="J341" i="28"/>
  <c r="G341" i="28"/>
  <c r="C341" i="28"/>
  <c r="B341" i="28"/>
  <c r="AB340" i="28"/>
  <c r="Y340" i="28"/>
  <c r="V340" i="28"/>
  <c r="S340" i="28"/>
  <c r="P340" i="28"/>
  <c r="M340" i="28"/>
  <c r="J340" i="28"/>
  <c r="G340" i="28"/>
  <c r="C340" i="28"/>
  <c r="B340" i="28"/>
  <c r="AB339" i="28"/>
  <c r="Y339" i="28"/>
  <c r="V339" i="28"/>
  <c r="S339" i="28"/>
  <c r="P339" i="28"/>
  <c r="M339" i="28"/>
  <c r="J339" i="28"/>
  <c r="F339" i="28"/>
  <c r="G339" i="28" s="1"/>
  <c r="B339" i="28"/>
  <c r="AB338" i="28"/>
  <c r="Y338" i="28"/>
  <c r="V338" i="28"/>
  <c r="S338" i="28"/>
  <c r="P338" i="28"/>
  <c r="L338" i="28"/>
  <c r="M338" i="28" s="1"/>
  <c r="B338" i="28"/>
  <c r="J338" i="28"/>
  <c r="G338" i="28"/>
  <c r="C338" i="28"/>
  <c r="AA337" i="28"/>
  <c r="C337" i="28" s="1"/>
  <c r="Y337" i="28"/>
  <c r="V337" i="28"/>
  <c r="S337" i="28"/>
  <c r="P337" i="28"/>
  <c r="M337" i="28"/>
  <c r="J337" i="28"/>
  <c r="G337" i="28"/>
  <c r="B337" i="28"/>
  <c r="AB336" i="28"/>
  <c r="Y336" i="28"/>
  <c r="U336" i="28"/>
  <c r="S336" i="28"/>
  <c r="P336" i="28"/>
  <c r="M336" i="28"/>
  <c r="J336" i="28"/>
  <c r="G336" i="28"/>
  <c r="B336" i="28"/>
  <c r="AB335" i="28"/>
  <c r="Y335" i="28"/>
  <c r="V335" i="28"/>
  <c r="S335" i="28"/>
  <c r="P335" i="28"/>
  <c r="L335" i="28"/>
  <c r="C335" i="28" s="1"/>
  <c r="J335" i="28"/>
  <c r="G335" i="28"/>
  <c r="AB334" i="28"/>
  <c r="Y334" i="28"/>
  <c r="V334" i="28"/>
  <c r="S334" i="28"/>
  <c r="P334" i="28"/>
  <c r="M334" i="28"/>
  <c r="J334" i="28"/>
  <c r="G334" i="28"/>
  <c r="C334" i="28"/>
  <c r="B334" i="28"/>
  <c r="AB333" i="28"/>
  <c r="Y333" i="28"/>
  <c r="V333" i="28"/>
  <c r="S333" i="28"/>
  <c r="P333" i="28"/>
  <c r="M333" i="28"/>
  <c r="J333" i="28"/>
  <c r="G333" i="28"/>
  <c r="C333" i="28"/>
  <c r="B333" i="28"/>
  <c r="AB332" i="28"/>
  <c r="Y332" i="28"/>
  <c r="V332" i="28"/>
  <c r="S332" i="28"/>
  <c r="P332" i="28"/>
  <c r="L332" i="28"/>
  <c r="J332" i="28"/>
  <c r="G332" i="28"/>
  <c r="B332" i="28"/>
  <c r="AB331" i="28"/>
  <c r="Y331" i="28"/>
  <c r="V331" i="28"/>
  <c r="S331" i="28"/>
  <c r="P331" i="28"/>
  <c r="M331" i="28"/>
  <c r="J331" i="28"/>
  <c r="G331" i="28"/>
  <c r="C331" i="28"/>
  <c r="B331" i="28"/>
  <c r="AB330" i="28"/>
  <c r="Y330" i="28"/>
  <c r="V330" i="28"/>
  <c r="S330" i="28"/>
  <c r="P330" i="28"/>
  <c r="M330" i="28"/>
  <c r="J330" i="28"/>
  <c r="G330" i="28"/>
  <c r="C330" i="28"/>
  <c r="B330" i="28"/>
  <c r="X329" i="28"/>
  <c r="R329" i="28"/>
  <c r="O329" i="28"/>
  <c r="AB328" i="28"/>
  <c r="Y328" i="28"/>
  <c r="V328" i="28"/>
  <c r="S328" i="28"/>
  <c r="P328" i="28"/>
  <c r="M328" i="28"/>
  <c r="J328" i="28"/>
  <c r="G328" i="28"/>
  <c r="C328" i="28"/>
  <c r="B328" i="28"/>
  <c r="AB327" i="28"/>
  <c r="Y327" i="28"/>
  <c r="V327" i="28"/>
  <c r="S327" i="28"/>
  <c r="P327" i="28"/>
  <c r="M327" i="28"/>
  <c r="J327" i="28"/>
  <c r="G327" i="28"/>
  <c r="C327" i="28"/>
  <c r="B327" i="28"/>
  <c r="AB326" i="28"/>
  <c r="Y326" i="28"/>
  <c r="V326" i="28"/>
  <c r="S326" i="28"/>
  <c r="P326" i="28"/>
  <c r="M326" i="28"/>
  <c r="J326" i="28"/>
  <c r="G326" i="28"/>
  <c r="C326" i="28"/>
  <c r="B326" i="28"/>
  <c r="AB325" i="28"/>
  <c r="Y325" i="28"/>
  <c r="V325" i="28"/>
  <c r="S325" i="28"/>
  <c r="P325" i="28"/>
  <c r="L325" i="28"/>
  <c r="M325" i="28" s="1"/>
  <c r="J325" i="28"/>
  <c r="G325" i="28"/>
  <c r="B325" i="28"/>
  <c r="AB324" i="28"/>
  <c r="Y324" i="28"/>
  <c r="V324" i="28"/>
  <c r="S324" i="28"/>
  <c r="P324" i="28"/>
  <c r="M324" i="28"/>
  <c r="J324" i="28"/>
  <c r="G324" i="28"/>
  <c r="C324" i="28"/>
  <c r="B324" i="28"/>
  <c r="AA323" i="28"/>
  <c r="X323" i="28"/>
  <c r="U323" i="28"/>
  <c r="R323" i="28"/>
  <c r="O323" i="28"/>
  <c r="L323" i="28"/>
  <c r="I323" i="28"/>
  <c r="F323" i="28"/>
  <c r="AB322" i="28"/>
  <c r="Y322" i="28"/>
  <c r="V322" i="28"/>
  <c r="S322" i="28"/>
  <c r="P322" i="28"/>
  <c r="M322" i="28"/>
  <c r="J322" i="28"/>
  <c r="G322" i="28"/>
  <c r="C322" i="28"/>
  <c r="B322" i="28"/>
  <c r="AB321" i="28"/>
  <c r="Y321" i="28"/>
  <c r="V321" i="28"/>
  <c r="S321" i="28"/>
  <c r="P321" i="28"/>
  <c r="M321" i="28"/>
  <c r="J321" i="28"/>
  <c r="G321" i="28"/>
  <c r="C321" i="28"/>
  <c r="B321" i="28"/>
  <c r="AB320" i="28"/>
  <c r="Y320" i="28"/>
  <c r="V320" i="28"/>
  <c r="S320" i="28"/>
  <c r="P320" i="28"/>
  <c r="M320" i="28"/>
  <c r="J320" i="28"/>
  <c r="G320" i="28"/>
  <c r="C320" i="28"/>
  <c r="B320" i="28"/>
  <c r="AA319" i="28"/>
  <c r="X319" i="28"/>
  <c r="U319" i="28"/>
  <c r="R319" i="28"/>
  <c r="O319" i="28"/>
  <c r="L319" i="28"/>
  <c r="I319" i="28"/>
  <c r="F319" i="28"/>
  <c r="AB318" i="28"/>
  <c r="Y318" i="28"/>
  <c r="V318" i="28"/>
  <c r="S318" i="28"/>
  <c r="P318" i="28"/>
  <c r="M318" i="28"/>
  <c r="J318" i="28"/>
  <c r="G318" i="28"/>
  <c r="C318" i="28"/>
  <c r="B318" i="28"/>
  <c r="AB317" i="28"/>
  <c r="Y317" i="28"/>
  <c r="V317" i="28"/>
  <c r="S317" i="28"/>
  <c r="P317" i="28"/>
  <c r="M317" i="28"/>
  <c r="J317" i="28"/>
  <c r="G317" i="28"/>
  <c r="C317" i="28"/>
  <c r="B317" i="28"/>
  <c r="AB316" i="28"/>
  <c r="Y316" i="28"/>
  <c r="V316" i="28"/>
  <c r="S316" i="28"/>
  <c r="P316" i="28"/>
  <c r="M316" i="28"/>
  <c r="J316" i="28"/>
  <c r="G316" i="28"/>
  <c r="C316" i="28"/>
  <c r="B316" i="28"/>
  <c r="AB315" i="28"/>
  <c r="Y315" i="28"/>
  <c r="V315" i="28"/>
  <c r="S315" i="28"/>
  <c r="P315" i="28"/>
  <c r="M315" i="28"/>
  <c r="J315" i="28"/>
  <c r="G315" i="28"/>
  <c r="C315" i="28"/>
  <c r="B315" i="28"/>
  <c r="AA314" i="28"/>
  <c r="X314" i="28"/>
  <c r="U314" i="28"/>
  <c r="R314" i="28"/>
  <c r="O314" i="28"/>
  <c r="L314" i="28"/>
  <c r="I314" i="28"/>
  <c r="F314" i="28"/>
  <c r="AB313" i="28"/>
  <c r="Y313" i="28"/>
  <c r="V313" i="28"/>
  <c r="S313" i="28"/>
  <c r="P313" i="28"/>
  <c r="M313" i="28"/>
  <c r="J313" i="28"/>
  <c r="G313" i="28"/>
  <c r="C313" i="28"/>
  <c r="B313" i="28"/>
  <c r="AB312" i="28"/>
  <c r="Y312" i="28"/>
  <c r="V312" i="28"/>
  <c r="S312" i="28"/>
  <c r="P312" i="28"/>
  <c r="M312" i="28"/>
  <c r="J312" i="28"/>
  <c r="G312" i="28"/>
  <c r="C312" i="28"/>
  <c r="B312" i="28"/>
  <c r="AA311" i="28"/>
  <c r="X311" i="28"/>
  <c r="U311" i="28"/>
  <c r="R311" i="28"/>
  <c r="O311" i="28"/>
  <c r="L311" i="28"/>
  <c r="I311" i="28"/>
  <c r="F311" i="28"/>
  <c r="AB309" i="28"/>
  <c r="Y309" i="28"/>
  <c r="V309" i="28"/>
  <c r="S309" i="28"/>
  <c r="P309" i="28"/>
  <c r="M309" i="28"/>
  <c r="J309" i="28"/>
  <c r="G309" i="28"/>
  <c r="C309" i="28"/>
  <c r="B309" i="28"/>
  <c r="AA308" i="28"/>
  <c r="X308" i="28"/>
  <c r="U308" i="28"/>
  <c r="R308" i="28"/>
  <c r="O308" i="28"/>
  <c r="L308" i="28"/>
  <c r="I308" i="28"/>
  <c r="F308" i="28"/>
  <c r="AB307" i="28"/>
  <c r="Y307" i="28"/>
  <c r="V307" i="28"/>
  <c r="S307" i="28"/>
  <c r="O307" i="28"/>
  <c r="M307" i="28"/>
  <c r="J307" i="28"/>
  <c r="G307" i="28"/>
  <c r="C307" i="28"/>
  <c r="AB306" i="28"/>
  <c r="Y306" i="28"/>
  <c r="V306" i="28"/>
  <c r="S306" i="28"/>
  <c r="O306" i="28"/>
  <c r="B306" i="28"/>
  <c r="M306" i="28"/>
  <c r="J306" i="28"/>
  <c r="G306" i="28"/>
  <c r="AA305" i="28"/>
  <c r="X305" i="28"/>
  <c r="U305" i="28"/>
  <c r="R305" i="28"/>
  <c r="L305" i="28"/>
  <c r="I305" i="28"/>
  <c r="F305" i="28"/>
  <c r="AB304" i="28"/>
  <c r="Y304" i="28"/>
  <c r="V304" i="28"/>
  <c r="S304" i="28"/>
  <c r="P304" i="28"/>
  <c r="M304" i="28"/>
  <c r="J304" i="28"/>
  <c r="G304" i="28"/>
  <c r="C304" i="28"/>
  <c r="B304" i="28"/>
  <c r="AB303" i="28"/>
  <c r="Y303" i="28"/>
  <c r="V303" i="28"/>
  <c r="S303" i="28"/>
  <c r="O303" i="28"/>
  <c r="M303" i="28"/>
  <c r="J303" i="28"/>
  <c r="G303" i="28"/>
  <c r="C303" i="28"/>
  <c r="B303" i="28"/>
  <c r="AB302" i="28"/>
  <c r="Y302" i="28"/>
  <c r="V302" i="28"/>
  <c r="S302" i="28"/>
  <c r="P302" i="28"/>
  <c r="M302" i="28"/>
  <c r="J302" i="28"/>
  <c r="G302" i="28"/>
  <c r="C302" i="28"/>
  <c r="B302" i="28"/>
  <c r="AB301" i="28"/>
  <c r="Y301" i="28"/>
  <c r="V301" i="28"/>
  <c r="S301" i="28"/>
  <c r="P301" i="28"/>
  <c r="M301" i="28"/>
  <c r="J301" i="28"/>
  <c r="G301" i="28"/>
  <c r="C301" i="28"/>
  <c r="B301" i="28"/>
  <c r="AA300" i="28"/>
  <c r="X300" i="28"/>
  <c r="U300" i="28"/>
  <c r="R300" i="28"/>
  <c r="O300" i="28"/>
  <c r="L300" i="28"/>
  <c r="I300" i="28"/>
  <c r="F300" i="28"/>
  <c r="AB299" i="28"/>
  <c r="Y299" i="28"/>
  <c r="V299" i="28"/>
  <c r="S299" i="28"/>
  <c r="P299" i="28"/>
  <c r="M299" i="28"/>
  <c r="J299" i="28"/>
  <c r="G299" i="28"/>
  <c r="C299" i="28"/>
  <c r="B299" i="28"/>
  <c r="AB298" i="28"/>
  <c r="Y298" i="28"/>
  <c r="V298" i="28"/>
  <c r="S298" i="28"/>
  <c r="P298" i="28"/>
  <c r="M298" i="28"/>
  <c r="J298" i="28"/>
  <c r="G298" i="28"/>
  <c r="C298" i="28"/>
  <c r="B298" i="28"/>
  <c r="AB297" i="28"/>
  <c r="Y297" i="28"/>
  <c r="V297" i="28"/>
  <c r="S297" i="28"/>
  <c r="P297" i="28"/>
  <c r="M297" i="28"/>
  <c r="J297" i="28"/>
  <c r="G297" i="28"/>
  <c r="C297" i="28"/>
  <c r="B297" i="28"/>
  <c r="AB296" i="28"/>
  <c r="Y296" i="28"/>
  <c r="V296" i="28"/>
  <c r="S296" i="28"/>
  <c r="P296" i="28"/>
  <c r="M296" i="28"/>
  <c r="J296" i="28"/>
  <c r="G296" i="28"/>
  <c r="C296" i="28"/>
  <c r="B296" i="28"/>
  <c r="AB295" i="28"/>
  <c r="Y295" i="28"/>
  <c r="V295" i="28"/>
  <c r="S295" i="28"/>
  <c r="P295" i="28"/>
  <c r="M295" i="28"/>
  <c r="J295" i="28"/>
  <c r="G295" i="28"/>
  <c r="C295" i="28"/>
  <c r="B295" i="28"/>
  <c r="AB294" i="28"/>
  <c r="Y294" i="28"/>
  <c r="V294" i="28"/>
  <c r="S294" i="28"/>
  <c r="P294" i="28"/>
  <c r="M294" i="28"/>
  <c r="J294" i="28"/>
  <c r="G294" i="28"/>
  <c r="C294" i="28"/>
  <c r="B294" i="28"/>
  <c r="AA293" i="28"/>
  <c r="X293" i="28"/>
  <c r="U293" i="28"/>
  <c r="R293" i="28"/>
  <c r="O293" i="28"/>
  <c r="P293" i="28" s="1"/>
  <c r="L293" i="28"/>
  <c r="I293" i="28"/>
  <c r="F293" i="28"/>
  <c r="AB292" i="28"/>
  <c r="Y292" i="28"/>
  <c r="V292" i="28"/>
  <c r="S292" i="28"/>
  <c r="P292" i="28"/>
  <c r="M292" i="28"/>
  <c r="J292" i="28"/>
  <c r="G292" i="28"/>
  <c r="C292" i="28"/>
  <c r="B292" i="28"/>
  <c r="AA291" i="28"/>
  <c r="X291" i="28"/>
  <c r="U291" i="28"/>
  <c r="R291" i="28"/>
  <c r="O291" i="28"/>
  <c r="L291" i="28"/>
  <c r="I291" i="28"/>
  <c r="F291" i="28"/>
  <c r="AB290" i="28"/>
  <c r="Y290" i="28"/>
  <c r="V290" i="28"/>
  <c r="S290" i="28"/>
  <c r="O290" i="28"/>
  <c r="O283" i="28" s="1"/>
  <c r="M290" i="28"/>
  <c r="J290" i="28"/>
  <c r="G290" i="28"/>
  <c r="AB289" i="28"/>
  <c r="Y289" i="28"/>
  <c r="V289" i="28"/>
  <c r="S289" i="28"/>
  <c r="P289" i="28"/>
  <c r="M289" i="28"/>
  <c r="J289" i="28"/>
  <c r="G289" i="28"/>
  <c r="C289" i="28"/>
  <c r="B289" i="28"/>
  <c r="AB288" i="28"/>
  <c r="Y288" i="28"/>
  <c r="V288" i="28"/>
  <c r="S288" i="28"/>
  <c r="P288" i="28"/>
  <c r="M288" i="28"/>
  <c r="J288" i="28"/>
  <c r="G288" i="28"/>
  <c r="C288" i="28"/>
  <c r="B288" i="28"/>
  <c r="AB287" i="28"/>
  <c r="Y287" i="28"/>
  <c r="V287" i="28"/>
  <c r="S287" i="28"/>
  <c r="P287" i="28"/>
  <c r="M287" i="28"/>
  <c r="J287" i="28"/>
  <c r="G287" i="28"/>
  <c r="C287" i="28"/>
  <c r="B287" i="28"/>
  <c r="AB286" i="28"/>
  <c r="Y286" i="28"/>
  <c r="V286" i="28"/>
  <c r="S286" i="28"/>
  <c r="P286" i="28"/>
  <c r="M286" i="28"/>
  <c r="J286" i="28"/>
  <c r="G286" i="28"/>
  <c r="C286" i="28"/>
  <c r="B286" i="28"/>
  <c r="AB285" i="28"/>
  <c r="Y285" i="28"/>
  <c r="V285" i="28"/>
  <c r="S285" i="28"/>
  <c r="P285" i="28"/>
  <c r="M285" i="28"/>
  <c r="J285" i="28"/>
  <c r="G285" i="28"/>
  <c r="C285" i="28"/>
  <c r="B285" i="28"/>
  <c r="AB284" i="28"/>
  <c r="Y284" i="28"/>
  <c r="V284" i="28"/>
  <c r="S284" i="28"/>
  <c r="P284" i="28"/>
  <c r="L284" i="28"/>
  <c r="C284" i="28" s="1"/>
  <c r="J284" i="28"/>
  <c r="G284" i="28"/>
  <c r="AA283" i="28"/>
  <c r="X283" i="28"/>
  <c r="U283" i="28"/>
  <c r="R283" i="28"/>
  <c r="I283" i="28"/>
  <c r="F283" i="28"/>
  <c r="AB281" i="28"/>
  <c r="Y281" i="28"/>
  <c r="V281" i="28"/>
  <c r="P281" i="28"/>
  <c r="M281" i="28"/>
  <c r="J281" i="28"/>
  <c r="G281" i="28"/>
  <c r="B281" i="28"/>
  <c r="AB279" i="28"/>
  <c r="Y279" i="28"/>
  <c r="V279" i="28"/>
  <c r="S279" i="28"/>
  <c r="P279" i="28"/>
  <c r="M279" i="28"/>
  <c r="J279" i="28"/>
  <c r="G279" i="28"/>
  <c r="C279" i="28"/>
  <c r="B279" i="28"/>
  <c r="AA278" i="28"/>
  <c r="X278" i="28"/>
  <c r="U278" i="28"/>
  <c r="O278" i="28"/>
  <c r="L278" i="28"/>
  <c r="I278" i="28"/>
  <c r="F278" i="28"/>
  <c r="AB277" i="28"/>
  <c r="Y277" i="28"/>
  <c r="V277" i="28"/>
  <c r="S277" i="28"/>
  <c r="P277" i="28"/>
  <c r="M277" i="28"/>
  <c r="J277" i="28"/>
  <c r="G277" i="28"/>
  <c r="C277" i="28"/>
  <c r="B277" i="28"/>
  <c r="AA276" i="28"/>
  <c r="X276" i="28"/>
  <c r="U276" i="28"/>
  <c r="R276" i="28"/>
  <c r="O276" i="28"/>
  <c r="L276" i="28"/>
  <c r="I276" i="28"/>
  <c r="F276" i="28"/>
  <c r="AB275" i="28"/>
  <c r="Y275" i="28"/>
  <c r="V275" i="28"/>
  <c r="S275" i="28"/>
  <c r="P275" i="28"/>
  <c r="M275" i="28"/>
  <c r="J275" i="28"/>
  <c r="G275" i="28"/>
  <c r="C275" i="28"/>
  <c r="B275" i="28"/>
  <c r="AB274" i="28"/>
  <c r="Y274" i="28"/>
  <c r="V274" i="28"/>
  <c r="S274" i="28"/>
  <c r="P274" i="28"/>
  <c r="M274" i="28"/>
  <c r="J274" i="28"/>
  <c r="G274" i="28"/>
  <c r="C274" i="28"/>
  <c r="B274" i="28"/>
  <c r="AB273" i="28"/>
  <c r="Y273" i="28"/>
  <c r="V273" i="28"/>
  <c r="S273" i="28"/>
  <c r="P273" i="28"/>
  <c r="M273" i="28"/>
  <c r="J273" i="28"/>
  <c r="G273" i="28"/>
  <c r="C273" i="28"/>
  <c r="B273" i="28"/>
  <c r="AB272" i="28"/>
  <c r="Y272" i="28"/>
  <c r="V272" i="28"/>
  <c r="S272" i="28"/>
  <c r="P272" i="28"/>
  <c r="M272" i="28"/>
  <c r="J272" i="28"/>
  <c r="G272" i="28"/>
  <c r="C272" i="28"/>
  <c r="B272" i="28"/>
  <c r="AB271" i="28"/>
  <c r="Y271" i="28"/>
  <c r="V271" i="28"/>
  <c r="R271" i="28"/>
  <c r="P271" i="28"/>
  <c r="M271" i="28"/>
  <c r="J271" i="28"/>
  <c r="G271" i="28"/>
  <c r="C271" i="28"/>
  <c r="AA270" i="28"/>
  <c r="X270" i="28"/>
  <c r="U270" i="28"/>
  <c r="R270" i="28"/>
  <c r="O270" i="28"/>
  <c r="L270" i="28"/>
  <c r="I270" i="28"/>
  <c r="F270" i="28"/>
  <c r="AB269" i="28"/>
  <c r="Y269" i="28"/>
  <c r="V269" i="28"/>
  <c r="R269" i="28"/>
  <c r="R265" i="28" s="1"/>
  <c r="P269" i="28"/>
  <c r="M269" i="28"/>
  <c r="J269" i="28"/>
  <c r="G269" i="28"/>
  <c r="C269" i="28"/>
  <c r="AB268" i="28"/>
  <c r="Y268" i="28"/>
  <c r="V268" i="28"/>
  <c r="S268" i="28"/>
  <c r="P268" i="28"/>
  <c r="M268" i="28"/>
  <c r="J268" i="28"/>
  <c r="G268" i="28"/>
  <c r="C268" i="28"/>
  <c r="B268" i="28"/>
  <c r="AB267" i="28"/>
  <c r="Y267" i="28"/>
  <c r="V267" i="28"/>
  <c r="S267" i="28"/>
  <c r="P267" i="28"/>
  <c r="M267" i="28"/>
  <c r="J267" i="28"/>
  <c r="G267" i="28"/>
  <c r="C267" i="28"/>
  <c r="B267" i="28"/>
  <c r="AB266" i="28"/>
  <c r="Y266" i="28"/>
  <c r="V266" i="28"/>
  <c r="S266" i="28"/>
  <c r="P266" i="28"/>
  <c r="M266" i="28"/>
  <c r="J266" i="28"/>
  <c r="G266" i="28"/>
  <c r="C266" i="28"/>
  <c r="B266" i="28"/>
  <c r="AA265" i="28"/>
  <c r="X265" i="28"/>
  <c r="U265" i="28"/>
  <c r="O265" i="28"/>
  <c r="L265" i="28"/>
  <c r="I265" i="28"/>
  <c r="F265" i="28"/>
  <c r="AB263" i="28"/>
  <c r="Y263" i="28"/>
  <c r="V263" i="28"/>
  <c r="R263" i="28"/>
  <c r="R251" i="28" s="1"/>
  <c r="S251" i="28" s="1"/>
  <c r="P263" i="28"/>
  <c r="M263" i="28"/>
  <c r="J263" i="28"/>
  <c r="G263" i="28"/>
  <c r="B263" i="28"/>
  <c r="AB260" i="28"/>
  <c r="Y260" i="28"/>
  <c r="V260" i="28"/>
  <c r="S260" i="28"/>
  <c r="P260" i="28"/>
  <c r="M260" i="28"/>
  <c r="J260" i="28"/>
  <c r="G260" i="28"/>
  <c r="C260" i="28"/>
  <c r="B260" i="28"/>
  <c r="AB259" i="28"/>
  <c r="Y259" i="28"/>
  <c r="V259" i="28"/>
  <c r="S259" i="28"/>
  <c r="P259" i="28"/>
  <c r="M259" i="28"/>
  <c r="J259" i="28"/>
  <c r="G259" i="28"/>
  <c r="C259" i="28"/>
  <c r="B259" i="28"/>
  <c r="AB258" i="28"/>
  <c r="Y258" i="28"/>
  <c r="V258" i="28"/>
  <c r="S258" i="28"/>
  <c r="P258" i="28"/>
  <c r="M258" i="28"/>
  <c r="J258" i="28"/>
  <c r="G258" i="28"/>
  <c r="C258" i="28"/>
  <c r="B258" i="28"/>
  <c r="AB257" i="28"/>
  <c r="Y257" i="28"/>
  <c r="V257" i="28"/>
  <c r="S257" i="28"/>
  <c r="P257" i="28"/>
  <c r="M257" i="28"/>
  <c r="J257" i="28"/>
  <c r="G257" i="28"/>
  <c r="C257" i="28"/>
  <c r="B257" i="28"/>
  <c r="AB256" i="28"/>
  <c r="Y256" i="28"/>
  <c r="V256" i="28"/>
  <c r="S256" i="28"/>
  <c r="P256" i="28"/>
  <c r="M256" i="28"/>
  <c r="J256" i="28"/>
  <c r="G256" i="28"/>
  <c r="C256" i="28"/>
  <c r="B256" i="28"/>
  <c r="AB255" i="28"/>
  <c r="Y255" i="28"/>
  <c r="V255" i="28"/>
  <c r="S255" i="28"/>
  <c r="P255" i="28"/>
  <c r="M255" i="28"/>
  <c r="J255" i="28"/>
  <c r="G255" i="28"/>
  <c r="C255" i="28"/>
  <c r="B255" i="28"/>
  <c r="AB254" i="28"/>
  <c r="Y254" i="28"/>
  <c r="V254" i="28"/>
  <c r="S254" i="28"/>
  <c r="P254" i="28"/>
  <c r="M254" i="28"/>
  <c r="J254" i="28"/>
  <c r="G254" i="28"/>
  <c r="C254" i="28"/>
  <c r="B254" i="28"/>
  <c r="AB253" i="28"/>
  <c r="Y253" i="28"/>
  <c r="V253" i="28"/>
  <c r="S253" i="28"/>
  <c r="P253" i="28"/>
  <c r="M253" i="28"/>
  <c r="J253" i="28"/>
  <c r="G253" i="28"/>
  <c r="C253" i="28"/>
  <c r="B253" i="28"/>
  <c r="AB252" i="28"/>
  <c r="Y252" i="28"/>
  <c r="V252" i="28"/>
  <c r="S252" i="28"/>
  <c r="P252" i="28"/>
  <c r="M252" i="28"/>
  <c r="J252" i="28"/>
  <c r="G252" i="28"/>
  <c r="C252" i="28"/>
  <c r="B252" i="28"/>
  <c r="AB250" i="28"/>
  <c r="Y250" i="28"/>
  <c r="V250" i="28"/>
  <c r="S250" i="28"/>
  <c r="P250" i="28"/>
  <c r="M250" i="28"/>
  <c r="J250" i="28"/>
  <c r="G250" i="28"/>
  <c r="C250" i="28"/>
  <c r="B250" i="28"/>
  <c r="AB249" i="28"/>
  <c r="Y249" i="28"/>
  <c r="V249" i="28"/>
  <c r="S249" i="28"/>
  <c r="P249" i="28"/>
  <c r="M249" i="28"/>
  <c r="J249" i="28"/>
  <c r="G249" i="28"/>
  <c r="C249" i="28"/>
  <c r="B249" i="28"/>
  <c r="AB248" i="28"/>
  <c r="Y248" i="28"/>
  <c r="V248" i="28"/>
  <c r="S248" i="28"/>
  <c r="P248" i="28"/>
  <c r="M248" i="28"/>
  <c r="J248" i="28"/>
  <c r="G248" i="28"/>
  <c r="C248" i="28"/>
  <c r="B248" i="28"/>
  <c r="AB244" i="28"/>
  <c r="Y244" i="28"/>
  <c r="V244" i="28"/>
  <c r="S244" i="28"/>
  <c r="P244" i="28"/>
  <c r="M244" i="28"/>
  <c r="J244" i="28"/>
  <c r="G244" i="28"/>
  <c r="C244" i="28"/>
  <c r="B244" i="28"/>
  <c r="AB242" i="28"/>
  <c r="Y242" i="28"/>
  <c r="V242" i="28"/>
  <c r="S242" i="28"/>
  <c r="P242" i="28"/>
  <c r="M242" i="28"/>
  <c r="J242" i="28"/>
  <c r="G242" i="28"/>
  <c r="C242" i="28"/>
  <c r="B242" i="28"/>
  <c r="AB241" i="28"/>
  <c r="Y241" i="28"/>
  <c r="V241" i="28"/>
  <c r="S241" i="28"/>
  <c r="P241" i="28"/>
  <c r="M241" i="28"/>
  <c r="J241" i="28"/>
  <c r="G241" i="28"/>
  <c r="C241" i="28"/>
  <c r="B241" i="28"/>
  <c r="AB240" i="28"/>
  <c r="Y240" i="28"/>
  <c r="V240" i="28"/>
  <c r="S240" i="28"/>
  <c r="P240" i="28"/>
  <c r="L240" i="28"/>
  <c r="C240" i="28" s="1"/>
  <c r="J240" i="28"/>
  <c r="G240" i="28"/>
  <c r="B240" i="28"/>
  <c r="AB239" i="28"/>
  <c r="Y239" i="28"/>
  <c r="V239" i="28"/>
  <c r="S239" i="28"/>
  <c r="P239" i="28"/>
  <c r="M239" i="28"/>
  <c r="J239" i="28"/>
  <c r="G239" i="28"/>
  <c r="C239" i="28"/>
  <c r="B239" i="28"/>
  <c r="AB238" i="28"/>
  <c r="Y238" i="28"/>
  <c r="V238" i="28"/>
  <c r="R238" i="28"/>
  <c r="P238" i="28"/>
  <c r="M238" i="28"/>
  <c r="J238" i="28"/>
  <c r="G238" i="28"/>
  <c r="AB237" i="28"/>
  <c r="Y237" i="28"/>
  <c r="V237" i="28"/>
  <c r="S237" i="28"/>
  <c r="P237" i="28"/>
  <c r="M237" i="28"/>
  <c r="J237" i="28"/>
  <c r="G237" i="28"/>
  <c r="C237" i="28"/>
  <c r="B237" i="28"/>
  <c r="AB236" i="28"/>
  <c r="Y236" i="28"/>
  <c r="V236" i="28"/>
  <c r="S236" i="28"/>
  <c r="P236" i="28"/>
  <c r="M236" i="28"/>
  <c r="J236" i="28"/>
  <c r="G236" i="28"/>
  <c r="C236" i="28"/>
  <c r="B236" i="28"/>
  <c r="AB235" i="28"/>
  <c r="Y235" i="28"/>
  <c r="V235" i="28"/>
  <c r="R235" i="28"/>
  <c r="P235" i="28"/>
  <c r="M235" i="28"/>
  <c r="J235" i="28"/>
  <c r="G235" i="28"/>
  <c r="C235" i="28"/>
  <c r="AA234" i="28"/>
  <c r="X234" i="28"/>
  <c r="U234" i="28"/>
  <c r="O234" i="28"/>
  <c r="I234" i="28"/>
  <c r="F234" i="28"/>
  <c r="AB233" i="28"/>
  <c r="Y233" i="28"/>
  <c r="V233" i="28"/>
  <c r="S233" i="28"/>
  <c r="P233" i="28"/>
  <c r="M233" i="28"/>
  <c r="J233" i="28"/>
  <c r="G233" i="28"/>
  <c r="C233" i="28"/>
  <c r="B233" i="28"/>
  <c r="AB232" i="28"/>
  <c r="Y232" i="28"/>
  <c r="V232" i="28"/>
  <c r="S232" i="28"/>
  <c r="P232" i="28"/>
  <c r="M232" i="28"/>
  <c r="J232" i="28"/>
  <c r="G232" i="28"/>
  <c r="C232" i="28"/>
  <c r="B232" i="28"/>
  <c r="AB231" i="28"/>
  <c r="AA230" i="28"/>
  <c r="Y231" i="28"/>
  <c r="V231" i="28"/>
  <c r="S231" i="28"/>
  <c r="P231" i="28"/>
  <c r="L231" i="28"/>
  <c r="L230" i="28" s="1"/>
  <c r="J231" i="28"/>
  <c r="F231" i="28"/>
  <c r="X230" i="28"/>
  <c r="U230" i="28"/>
  <c r="R230" i="28"/>
  <c r="O230" i="28"/>
  <c r="I230" i="28"/>
  <c r="AB229" i="28"/>
  <c r="Y229" i="28"/>
  <c r="V229" i="28"/>
  <c r="R229" i="28"/>
  <c r="C229" i="28" s="1"/>
  <c r="P229" i="28"/>
  <c r="M229" i="28"/>
  <c r="J229" i="28"/>
  <c r="G229" i="28"/>
  <c r="AB228" i="28"/>
  <c r="Y228" i="28"/>
  <c r="V228" i="28"/>
  <c r="S228" i="28"/>
  <c r="P228" i="28"/>
  <c r="L228" i="28"/>
  <c r="C228" i="28" s="1"/>
  <c r="J228" i="28"/>
  <c r="G228" i="28"/>
  <c r="AB227" i="28"/>
  <c r="Y227" i="28"/>
  <c r="V227" i="28"/>
  <c r="R227" i="28"/>
  <c r="C227" i="28" s="1"/>
  <c r="P227" i="28"/>
  <c r="M227" i="28"/>
  <c r="J227" i="28"/>
  <c r="G227" i="28"/>
  <c r="AB226" i="28"/>
  <c r="Y226" i="28"/>
  <c r="V226" i="28"/>
  <c r="R226" i="28"/>
  <c r="C226" i="28" s="1"/>
  <c r="P226" i="28"/>
  <c r="M226" i="28"/>
  <c r="J226" i="28"/>
  <c r="G226" i="28"/>
  <c r="B226" i="28"/>
  <c r="AB225" i="28"/>
  <c r="Y225" i="28"/>
  <c r="V225" i="28"/>
  <c r="S225" i="28"/>
  <c r="P225" i="28"/>
  <c r="M225" i="28"/>
  <c r="J225" i="28"/>
  <c r="G225" i="28"/>
  <c r="C225" i="28"/>
  <c r="B225" i="28"/>
  <c r="AB224" i="28"/>
  <c r="Y224" i="28"/>
  <c r="V224" i="28"/>
  <c r="S224" i="28"/>
  <c r="P224" i="28"/>
  <c r="M224" i="28"/>
  <c r="J224" i="28"/>
  <c r="G224" i="28"/>
  <c r="C224" i="28"/>
  <c r="B224" i="28"/>
  <c r="AB223" i="28"/>
  <c r="Y223" i="28"/>
  <c r="V223" i="28"/>
  <c r="S223" i="28"/>
  <c r="P223" i="28"/>
  <c r="M223" i="28"/>
  <c r="J223" i="28"/>
  <c r="G223" i="28"/>
  <c r="C223" i="28"/>
  <c r="B223" i="28"/>
  <c r="AB222" i="28"/>
  <c r="Y222" i="28"/>
  <c r="V222" i="28"/>
  <c r="S222" i="28"/>
  <c r="P222" i="28"/>
  <c r="M222" i="28"/>
  <c r="J222" i="28"/>
  <c r="G222" i="28"/>
  <c r="C222" i="28"/>
  <c r="B222" i="28"/>
  <c r="AB221" i="28"/>
  <c r="Y221" i="28"/>
  <c r="V221" i="28"/>
  <c r="S221" i="28"/>
  <c r="P221" i="28"/>
  <c r="M221" i="28"/>
  <c r="J221" i="28"/>
  <c r="G221" i="28"/>
  <c r="C221" i="28"/>
  <c r="B221" i="28"/>
  <c r="AB220" i="28"/>
  <c r="Y220" i="28"/>
  <c r="V220" i="28"/>
  <c r="S220" i="28"/>
  <c r="P220" i="28"/>
  <c r="M220" i="28"/>
  <c r="J220" i="28"/>
  <c r="G220" i="28"/>
  <c r="C220" i="28"/>
  <c r="B220" i="28"/>
  <c r="AB218" i="28"/>
  <c r="Y218" i="28"/>
  <c r="V218" i="28"/>
  <c r="S218" i="28"/>
  <c r="P218" i="28"/>
  <c r="M218" i="28"/>
  <c r="J218" i="28"/>
  <c r="G218" i="28"/>
  <c r="C218" i="28"/>
  <c r="B218" i="28"/>
  <c r="AB217" i="28"/>
  <c r="Y217" i="28"/>
  <c r="V217" i="28"/>
  <c r="S217" i="28"/>
  <c r="P217" i="28"/>
  <c r="M217" i="28"/>
  <c r="L217" i="28"/>
  <c r="C217" i="28" s="1"/>
  <c r="J217" i="28"/>
  <c r="G217" i="28"/>
  <c r="B217" i="28"/>
  <c r="AB214" i="28"/>
  <c r="Y214" i="28"/>
  <c r="V214" i="28"/>
  <c r="S214" i="28"/>
  <c r="P214" i="28"/>
  <c r="M214" i="28"/>
  <c r="J214" i="28"/>
  <c r="G214" i="28"/>
  <c r="C214" i="28"/>
  <c r="B214" i="28"/>
  <c r="AB213" i="28"/>
  <c r="Y213" i="28"/>
  <c r="V213" i="28"/>
  <c r="R213" i="28"/>
  <c r="P213" i="28"/>
  <c r="M213" i="28"/>
  <c r="J213" i="28"/>
  <c r="G213" i="28"/>
  <c r="AB212" i="28"/>
  <c r="Y212" i="28"/>
  <c r="V212" i="28"/>
  <c r="S212" i="28"/>
  <c r="P212" i="28"/>
  <c r="L212" i="28"/>
  <c r="L210" i="28" s="1"/>
  <c r="J212" i="28"/>
  <c r="G212" i="28"/>
  <c r="AB211" i="28"/>
  <c r="Y211" i="28"/>
  <c r="U211" i="28"/>
  <c r="C211" i="28" s="1"/>
  <c r="S211" i="28"/>
  <c r="P211" i="28"/>
  <c r="M211" i="28"/>
  <c r="J211" i="28"/>
  <c r="G211" i="28"/>
  <c r="B211" i="28"/>
  <c r="AA210" i="28"/>
  <c r="X210" i="28"/>
  <c r="O210" i="28"/>
  <c r="I210" i="28"/>
  <c r="F210" i="28"/>
  <c r="AB208" i="28"/>
  <c r="Y208" i="28"/>
  <c r="V208" i="28"/>
  <c r="S208" i="28"/>
  <c r="P208" i="28"/>
  <c r="M208" i="28"/>
  <c r="J208" i="28"/>
  <c r="G208" i="28"/>
  <c r="C208" i="28"/>
  <c r="B208" i="28"/>
  <c r="AB207" i="28"/>
  <c r="Y207" i="28"/>
  <c r="V207" i="28"/>
  <c r="S207" i="28"/>
  <c r="P207" i="28"/>
  <c r="M207" i="28"/>
  <c r="J207" i="28"/>
  <c r="G207" i="28"/>
  <c r="C207" i="28"/>
  <c r="B207" i="28"/>
  <c r="AB206" i="28"/>
  <c r="Y206" i="28"/>
  <c r="V206" i="28"/>
  <c r="S206" i="28"/>
  <c r="P206" i="28"/>
  <c r="M206" i="28"/>
  <c r="J206" i="28"/>
  <c r="G206" i="28"/>
  <c r="C206" i="28"/>
  <c r="B206" i="28"/>
  <c r="AB205" i="28"/>
  <c r="Y205" i="28"/>
  <c r="V205" i="28"/>
  <c r="S205" i="28"/>
  <c r="P205" i="28"/>
  <c r="M205" i="28"/>
  <c r="J205" i="28"/>
  <c r="G205" i="28"/>
  <c r="C205" i="28"/>
  <c r="B205" i="28"/>
  <c r="AB204" i="28"/>
  <c r="Y204" i="28"/>
  <c r="V204" i="28"/>
  <c r="S204" i="28"/>
  <c r="P204" i="28"/>
  <c r="L204" i="28"/>
  <c r="C204" i="28" s="1"/>
  <c r="J204" i="28"/>
  <c r="G204" i="28"/>
  <c r="AA203" i="28"/>
  <c r="X203" i="28"/>
  <c r="U203" i="28"/>
  <c r="R203" i="28"/>
  <c r="O203" i="28"/>
  <c r="L203" i="28"/>
  <c r="I203" i="28"/>
  <c r="F203" i="28"/>
  <c r="AB202" i="28"/>
  <c r="Y202" i="28"/>
  <c r="V202" i="28"/>
  <c r="R202" i="28"/>
  <c r="R198" i="28" s="1"/>
  <c r="P202" i="28"/>
  <c r="M202" i="28"/>
  <c r="J202" i="28"/>
  <c r="G202" i="28"/>
  <c r="C202" i="28"/>
  <c r="AB201" i="28"/>
  <c r="Y201" i="28"/>
  <c r="V201" i="28"/>
  <c r="S201" i="28"/>
  <c r="P201" i="28"/>
  <c r="M201" i="28"/>
  <c r="J201" i="28"/>
  <c r="G201" i="28"/>
  <c r="C201" i="28"/>
  <c r="B201" i="28"/>
  <c r="AB200" i="28"/>
  <c r="Y200" i="28"/>
  <c r="V200" i="28"/>
  <c r="S200" i="28"/>
  <c r="P200" i="28"/>
  <c r="M200" i="28"/>
  <c r="J200" i="28"/>
  <c r="G200" i="28"/>
  <c r="C200" i="28"/>
  <c r="B200" i="28"/>
  <c r="AB199" i="28"/>
  <c r="Y199" i="28"/>
  <c r="V199" i="28"/>
  <c r="S199" i="28"/>
  <c r="P199" i="28"/>
  <c r="M199" i="28"/>
  <c r="J199" i="28"/>
  <c r="G199" i="28"/>
  <c r="C199" i="28"/>
  <c r="B199" i="28"/>
  <c r="AA198" i="28"/>
  <c r="X198" i="28"/>
  <c r="U198" i="28"/>
  <c r="O198" i="28"/>
  <c r="L198" i="28"/>
  <c r="I198" i="28"/>
  <c r="F198" i="28"/>
  <c r="AB196" i="28"/>
  <c r="Y196" i="28"/>
  <c r="V196" i="28"/>
  <c r="S196" i="28"/>
  <c r="P196" i="28"/>
  <c r="M196" i="28"/>
  <c r="J196" i="28"/>
  <c r="G196" i="28"/>
  <c r="C196" i="28"/>
  <c r="B196" i="28"/>
  <c r="AB193" i="28"/>
  <c r="Y193" i="28"/>
  <c r="V193" i="28"/>
  <c r="S193" i="28"/>
  <c r="P193" i="28"/>
  <c r="M193" i="28"/>
  <c r="J193" i="28"/>
  <c r="G193" i="28"/>
  <c r="C193" i="28"/>
  <c r="B193" i="28"/>
  <c r="AA192" i="28"/>
  <c r="X192" i="28"/>
  <c r="U192" i="28"/>
  <c r="R192" i="28"/>
  <c r="O192" i="28"/>
  <c r="L192" i="28"/>
  <c r="I192" i="28"/>
  <c r="F192" i="28"/>
  <c r="AB191" i="28"/>
  <c r="Y191" i="28"/>
  <c r="V191" i="28"/>
  <c r="S191" i="28"/>
  <c r="P191" i="28"/>
  <c r="L191" i="28"/>
  <c r="M191" i="28" s="1"/>
  <c r="B191" i="28"/>
  <c r="J191" i="28"/>
  <c r="G191" i="28"/>
  <c r="AB190" i="28"/>
  <c r="Y190" i="28"/>
  <c r="V190" i="28"/>
  <c r="S190" i="28"/>
  <c r="P190" i="28"/>
  <c r="M190" i="28"/>
  <c r="J190" i="28"/>
  <c r="G190" i="28"/>
  <c r="C190" i="28"/>
  <c r="B190" i="28"/>
  <c r="AB189" i="28"/>
  <c r="Y189" i="28"/>
  <c r="V189" i="28"/>
  <c r="S189" i="28"/>
  <c r="P189" i="28"/>
  <c r="M189" i="28"/>
  <c r="J189" i="28"/>
  <c r="G189" i="28"/>
  <c r="C189" i="28"/>
  <c r="B189" i="28"/>
  <c r="AA188" i="28"/>
  <c r="X188" i="28"/>
  <c r="U188" i="28"/>
  <c r="R188" i="28"/>
  <c r="O188" i="28"/>
  <c r="I188" i="28"/>
  <c r="F188" i="28"/>
  <c r="AB187" i="28"/>
  <c r="Y187" i="28"/>
  <c r="V187" i="28"/>
  <c r="S187" i="28"/>
  <c r="P187" i="28"/>
  <c r="M187" i="28"/>
  <c r="J187" i="28"/>
  <c r="G187" i="28"/>
  <c r="C187" i="28"/>
  <c r="B187" i="28"/>
  <c r="AA186" i="28"/>
  <c r="X186" i="28"/>
  <c r="U186" i="28"/>
  <c r="R186" i="28"/>
  <c r="O186" i="28"/>
  <c r="L186" i="28"/>
  <c r="I186" i="28"/>
  <c r="F186" i="28"/>
  <c r="AB185" i="28"/>
  <c r="Y185" i="28"/>
  <c r="V185" i="28"/>
  <c r="S185" i="28"/>
  <c r="P185" i="28"/>
  <c r="C185" i="28"/>
  <c r="J185" i="28"/>
  <c r="G185" i="28"/>
  <c r="AB183" i="28"/>
  <c r="Y183" i="28"/>
  <c r="V183" i="28"/>
  <c r="S183" i="28"/>
  <c r="P183" i="28"/>
  <c r="M183" i="28"/>
  <c r="J183" i="28"/>
  <c r="G183" i="28"/>
  <c r="C183" i="28"/>
  <c r="B183" i="28"/>
  <c r="AB182" i="28"/>
  <c r="Y182" i="28"/>
  <c r="V182" i="28"/>
  <c r="S182" i="28"/>
  <c r="P182" i="28"/>
  <c r="M182" i="28"/>
  <c r="J182" i="28"/>
  <c r="G182" i="28"/>
  <c r="C182" i="28"/>
  <c r="B182" i="28"/>
  <c r="AB181" i="28"/>
  <c r="Y181" i="28"/>
  <c r="V181" i="28"/>
  <c r="S181" i="28"/>
  <c r="P181" i="28"/>
  <c r="M181" i="28"/>
  <c r="J181" i="28"/>
  <c r="G181" i="28"/>
  <c r="C181" i="28"/>
  <c r="B181" i="28"/>
  <c r="AB180" i="28"/>
  <c r="Y180" i="28"/>
  <c r="V180" i="28"/>
  <c r="S180" i="28"/>
  <c r="P180" i="28"/>
  <c r="L180" i="28"/>
  <c r="C180" i="28" s="1"/>
  <c r="J180" i="28"/>
  <c r="G180" i="28"/>
  <c r="B180" i="28"/>
  <c r="AA179" i="28"/>
  <c r="X179" i="28"/>
  <c r="U179" i="28"/>
  <c r="R179" i="28"/>
  <c r="O179" i="28"/>
  <c r="I179" i="28"/>
  <c r="F179" i="28"/>
  <c r="AB176" i="28"/>
  <c r="Y176" i="28"/>
  <c r="V176" i="28"/>
  <c r="S176" i="28"/>
  <c r="P176" i="28"/>
  <c r="M176" i="28"/>
  <c r="J176" i="28"/>
  <c r="G176" i="28"/>
  <c r="C176" i="28"/>
  <c r="B176" i="28"/>
  <c r="AB175" i="28"/>
  <c r="Y175" i="28"/>
  <c r="V175" i="28"/>
  <c r="S175" i="28"/>
  <c r="P175" i="28"/>
  <c r="M175" i="28"/>
  <c r="J175" i="28"/>
  <c r="G175" i="28"/>
  <c r="C175" i="28"/>
  <c r="B175" i="28"/>
  <c r="AB174" i="28"/>
  <c r="Y174" i="28"/>
  <c r="V174" i="28"/>
  <c r="S174" i="28"/>
  <c r="P174" i="28"/>
  <c r="M174" i="28"/>
  <c r="J174" i="28"/>
  <c r="G174" i="28"/>
  <c r="C174" i="28"/>
  <c r="B174" i="28"/>
  <c r="AB173" i="28"/>
  <c r="Y173" i="28"/>
  <c r="V173" i="28"/>
  <c r="S173" i="28"/>
  <c r="P173" i="28"/>
  <c r="M173" i="28"/>
  <c r="J173" i="28"/>
  <c r="G173" i="28"/>
  <c r="C173" i="28"/>
  <c r="B173" i="28"/>
  <c r="AB172" i="28"/>
  <c r="Y172" i="28"/>
  <c r="V172" i="28"/>
  <c r="S172" i="28"/>
  <c r="O172" i="28"/>
  <c r="P172" i="28" s="1"/>
  <c r="B172" i="28"/>
  <c r="M172" i="28"/>
  <c r="J172" i="28"/>
  <c r="G172" i="28"/>
  <c r="C172" i="28"/>
  <c r="AA171" i="28"/>
  <c r="AA170" i="28" s="1"/>
  <c r="X171" i="28"/>
  <c r="X170" i="28" s="1"/>
  <c r="U171" i="28"/>
  <c r="U170" i="28" s="1"/>
  <c r="R171" i="28"/>
  <c r="R170" i="28" s="1"/>
  <c r="L171" i="28"/>
  <c r="I171" i="28"/>
  <c r="I170" i="28" s="1"/>
  <c r="F171" i="28"/>
  <c r="F170" i="28" s="1"/>
  <c r="AB169" i="28"/>
  <c r="Y169" i="28"/>
  <c r="V169" i="28"/>
  <c r="S169" i="28"/>
  <c r="P169" i="28"/>
  <c r="M169" i="28"/>
  <c r="J169" i="28"/>
  <c r="G169" i="28"/>
  <c r="C169" i="28"/>
  <c r="B169" i="28"/>
  <c r="AB168" i="28"/>
  <c r="Y168" i="28"/>
  <c r="V168" i="28"/>
  <c r="S168" i="28"/>
  <c r="P168" i="28"/>
  <c r="M168" i="28"/>
  <c r="J168" i="28"/>
  <c r="G168" i="28"/>
  <c r="C168" i="28"/>
  <c r="B168" i="28"/>
  <c r="AB167" i="28"/>
  <c r="Y167" i="28"/>
  <c r="V167" i="28"/>
  <c r="S167" i="28"/>
  <c r="P167" i="28"/>
  <c r="M167" i="28"/>
  <c r="J167" i="28"/>
  <c r="G167" i="28"/>
  <c r="C167" i="28"/>
  <c r="B167" i="28"/>
  <c r="AB166" i="28"/>
  <c r="Y166" i="28"/>
  <c r="V166" i="28"/>
  <c r="S166" i="28"/>
  <c r="O166" i="28"/>
  <c r="O149" i="28" s="1"/>
  <c r="O148" i="28" s="1"/>
  <c r="M166" i="28"/>
  <c r="J166" i="28"/>
  <c r="G166" i="28"/>
  <c r="C166" i="28"/>
  <c r="B166" i="28"/>
  <c r="AB165" i="28"/>
  <c r="Y165" i="28"/>
  <c r="V165" i="28"/>
  <c r="S165" i="28"/>
  <c r="P165" i="28"/>
  <c r="M165" i="28"/>
  <c r="J165" i="28"/>
  <c r="G165" i="28"/>
  <c r="C165" i="28"/>
  <c r="B165" i="28"/>
  <c r="AB164" i="28"/>
  <c r="Y164" i="28"/>
  <c r="V164" i="28"/>
  <c r="S164" i="28"/>
  <c r="P164" i="28"/>
  <c r="M164" i="28"/>
  <c r="J164" i="28"/>
  <c r="G164" i="28"/>
  <c r="C164" i="28"/>
  <c r="B164" i="28"/>
  <c r="AB163" i="28"/>
  <c r="Y163" i="28"/>
  <c r="V163" i="28"/>
  <c r="S163" i="28"/>
  <c r="P163" i="28"/>
  <c r="M163" i="28"/>
  <c r="J163" i="28"/>
  <c r="G163" i="28"/>
  <c r="C163" i="28"/>
  <c r="B163" i="28"/>
  <c r="AB162" i="28"/>
  <c r="Y162" i="28"/>
  <c r="V162" i="28"/>
  <c r="S162" i="28"/>
  <c r="P162" i="28"/>
  <c r="M162" i="28"/>
  <c r="J162" i="28"/>
  <c r="G162" i="28"/>
  <c r="C162" i="28"/>
  <c r="B162" i="28"/>
  <c r="AB161" i="28"/>
  <c r="Y161" i="28"/>
  <c r="V161" i="28"/>
  <c r="S161" i="28"/>
  <c r="P161" i="28"/>
  <c r="M161" i="28"/>
  <c r="J161" i="28"/>
  <c r="G161" i="28"/>
  <c r="C161" i="28"/>
  <c r="B161" i="28"/>
  <c r="AB159" i="28"/>
  <c r="Y159" i="28"/>
  <c r="V159" i="28"/>
  <c r="S159" i="28"/>
  <c r="P159" i="28"/>
  <c r="M159" i="28"/>
  <c r="J159" i="28"/>
  <c r="G159" i="28"/>
  <c r="C159" i="28"/>
  <c r="B159" i="28"/>
  <c r="AB158" i="28"/>
  <c r="Y158" i="28"/>
  <c r="V158" i="28"/>
  <c r="S158" i="28"/>
  <c r="P158" i="28"/>
  <c r="M158" i="28"/>
  <c r="J158" i="28"/>
  <c r="G158" i="28"/>
  <c r="C158" i="28"/>
  <c r="B158" i="28"/>
  <c r="AB157" i="28"/>
  <c r="Y157" i="28"/>
  <c r="V157" i="28"/>
  <c r="S157" i="28"/>
  <c r="P157" i="28"/>
  <c r="M157" i="28"/>
  <c r="J157" i="28"/>
  <c r="G157" i="28"/>
  <c r="C157" i="28"/>
  <c r="B157" i="28"/>
  <c r="AB156" i="28"/>
  <c r="Y156" i="28"/>
  <c r="V156" i="28"/>
  <c r="S156" i="28"/>
  <c r="P156" i="28"/>
  <c r="M156" i="28"/>
  <c r="J156" i="28"/>
  <c r="G156" i="28"/>
  <c r="C156" i="28"/>
  <c r="B156" i="28"/>
  <c r="AB155" i="28"/>
  <c r="Y155" i="28"/>
  <c r="V155" i="28"/>
  <c r="S155" i="28"/>
  <c r="P155" i="28"/>
  <c r="M155" i="28"/>
  <c r="J155" i="28"/>
  <c r="G155" i="28"/>
  <c r="C155" i="28"/>
  <c r="B155" i="28"/>
  <c r="AB154" i="28"/>
  <c r="Y154" i="28"/>
  <c r="V154" i="28"/>
  <c r="S154" i="28"/>
  <c r="P154" i="28"/>
  <c r="M154" i="28"/>
  <c r="J154" i="28"/>
  <c r="G154" i="28"/>
  <c r="C154" i="28"/>
  <c r="B154" i="28"/>
  <c r="AB153" i="28"/>
  <c r="Y153" i="28"/>
  <c r="V153" i="28"/>
  <c r="S153" i="28"/>
  <c r="P153" i="28"/>
  <c r="M153" i="28"/>
  <c r="I153" i="28"/>
  <c r="J153" i="28" s="1"/>
  <c r="G153" i="28"/>
  <c r="B153" i="28"/>
  <c r="AB152" i="28"/>
  <c r="Y152" i="28"/>
  <c r="V152" i="28"/>
  <c r="S152" i="28"/>
  <c r="P152" i="28"/>
  <c r="M152" i="28"/>
  <c r="J152" i="28"/>
  <c r="F152" i="28"/>
  <c r="B152" i="28"/>
  <c r="AB151" i="28"/>
  <c r="Y151" i="28"/>
  <c r="V151" i="28"/>
  <c r="S151" i="28"/>
  <c r="P151" i="28"/>
  <c r="M151" i="28"/>
  <c r="J151" i="28"/>
  <c r="G151" i="28"/>
  <c r="C151" i="28"/>
  <c r="B151" i="28"/>
  <c r="AB150" i="28"/>
  <c r="Y150" i="28"/>
  <c r="V150" i="28"/>
  <c r="S150" i="28"/>
  <c r="P150" i="28"/>
  <c r="M150" i="28"/>
  <c r="J150" i="28"/>
  <c r="G150" i="28"/>
  <c r="C150" i="28"/>
  <c r="B150" i="28"/>
  <c r="AA149" i="28"/>
  <c r="AA148" i="28" s="1"/>
  <c r="X149" i="28"/>
  <c r="X148" i="28" s="1"/>
  <c r="U149" i="28"/>
  <c r="R149" i="28"/>
  <c r="R148" i="28" s="1"/>
  <c r="L149" i="28"/>
  <c r="L148" i="28" s="1"/>
  <c r="F149" i="28"/>
  <c r="F148" i="28" s="1"/>
  <c r="AB147" i="28"/>
  <c r="Y147" i="28"/>
  <c r="V147" i="28"/>
  <c r="S147" i="28"/>
  <c r="P147" i="28"/>
  <c r="M147" i="28"/>
  <c r="J147" i="28"/>
  <c r="G147" i="28"/>
  <c r="C147" i="28"/>
  <c r="B147" i="28"/>
  <c r="AB146" i="28"/>
  <c r="Y146" i="28"/>
  <c r="V146" i="28"/>
  <c r="S146" i="28"/>
  <c r="P146" i="28"/>
  <c r="M146" i="28"/>
  <c r="J146" i="28"/>
  <c r="G146" i="28"/>
  <c r="C146" i="28"/>
  <c r="B146" i="28"/>
  <c r="AB145" i="28"/>
  <c r="Y145" i="28"/>
  <c r="V145" i="28"/>
  <c r="S145" i="28"/>
  <c r="P145" i="28"/>
  <c r="M145" i="28"/>
  <c r="J145" i="28"/>
  <c r="G145" i="28"/>
  <c r="C145" i="28"/>
  <c r="B145" i="28"/>
  <c r="AB144" i="28"/>
  <c r="Y144" i="28"/>
  <c r="V144" i="28"/>
  <c r="S144" i="28"/>
  <c r="P144" i="28"/>
  <c r="M144" i="28"/>
  <c r="J144" i="28"/>
  <c r="G144" i="28"/>
  <c r="C144" i="28"/>
  <c r="B144" i="28"/>
  <c r="AB143" i="28"/>
  <c r="Y143" i="28"/>
  <c r="V143" i="28"/>
  <c r="S143" i="28"/>
  <c r="P143" i="28"/>
  <c r="M143" i="28"/>
  <c r="J143" i="28"/>
  <c r="G143" i="28"/>
  <c r="C143" i="28"/>
  <c r="B143" i="28"/>
  <c r="AB142" i="28"/>
  <c r="Y142" i="28"/>
  <c r="V142" i="28"/>
  <c r="S142" i="28"/>
  <c r="P142" i="28"/>
  <c r="M142" i="28"/>
  <c r="J142" i="28"/>
  <c r="G142" i="28"/>
  <c r="C142" i="28"/>
  <c r="B142" i="28"/>
  <c r="AB141" i="28"/>
  <c r="Y141" i="28"/>
  <c r="V141" i="28"/>
  <c r="S141" i="28"/>
  <c r="P141" i="28"/>
  <c r="M141" i="28"/>
  <c r="J141" i="28"/>
  <c r="G141" i="28"/>
  <c r="C141" i="28"/>
  <c r="B141" i="28"/>
  <c r="AB140" i="28"/>
  <c r="Y140" i="28"/>
  <c r="V140" i="28"/>
  <c r="S140" i="28"/>
  <c r="P140" i="28"/>
  <c r="M140" i="28"/>
  <c r="J140" i="28"/>
  <c r="G140" i="28"/>
  <c r="C140" i="28"/>
  <c r="B140" i="28"/>
  <c r="AB139" i="28"/>
  <c r="Y139" i="28"/>
  <c r="V139" i="28"/>
  <c r="S139" i="28"/>
  <c r="P139" i="28"/>
  <c r="M139" i="28"/>
  <c r="J139" i="28"/>
  <c r="G139" i="28"/>
  <c r="C139" i="28"/>
  <c r="B139" i="28"/>
  <c r="AB138" i="28"/>
  <c r="Y138" i="28"/>
  <c r="V138" i="28"/>
  <c r="S138" i="28"/>
  <c r="P138" i="28"/>
  <c r="M138" i="28"/>
  <c r="J138" i="28"/>
  <c r="G138" i="28"/>
  <c r="C138" i="28"/>
  <c r="B138" i="28"/>
  <c r="AB137" i="28"/>
  <c r="Y137" i="28"/>
  <c r="V137" i="28"/>
  <c r="S137" i="28"/>
  <c r="P137" i="28"/>
  <c r="M137" i="28"/>
  <c r="J137" i="28"/>
  <c r="G137" i="28"/>
  <c r="C137" i="28"/>
  <c r="B137" i="28"/>
  <c r="AB136" i="28"/>
  <c r="Y136" i="28"/>
  <c r="V136" i="28"/>
  <c r="S136" i="28"/>
  <c r="P136" i="28"/>
  <c r="M136" i="28"/>
  <c r="J136" i="28"/>
  <c r="G136" i="28"/>
  <c r="C136" i="28"/>
  <c r="B136" i="28"/>
  <c r="AB135" i="28"/>
  <c r="Y135" i="28"/>
  <c r="V135" i="28"/>
  <c r="S135" i="28"/>
  <c r="P135" i="28"/>
  <c r="M135" i="28"/>
  <c r="J135" i="28"/>
  <c r="G135" i="28"/>
  <c r="C135" i="28"/>
  <c r="B135" i="28"/>
  <c r="AB134" i="28"/>
  <c r="Y134" i="28"/>
  <c r="V134" i="28"/>
  <c r="S134" i="28"/>
  <c r="P134" i="28"/>
  <c r="M134" i="28"/>
  <c r="J134" i="28"/>
  <c r="G134" i="28"/>
  <c r="C134" i="28"/>
  <c r="B134" i="28"/>
  <c r="AB133" i="28"/>
  <c r="Y133" i="28"/>
  <c r="V133" i="28"/>
  <c r="S133" i="28"/>
  <c r="P133" i="28"/>
  <c r="M133" i="28"/>
  <c r="J133" i="28"/>
  <c r="G133" i="28"/>
  <c r="C133" i="28"/>
  <c r="B133" i="28"/>
  <c r="AB132" i="28"/>
  <c r="Y132" i="28"/>
  <c r="V132" i="28"/>
  <c r="S132" i="28"/>
  <c r="P132" i="28"/>
  <c r="M132" i="28"/>
  <c r="J132" i="28"/>
  <c r="G132" i="28"/>
  <c r="C132" i="28"/>
  <c r="B132" i="28"/>
  <c r="AB131" i="28"/>
  <c r="Y131" i="28"/>
  <c r="V131" i="28"/>
  <c r="S131" i="28"/>
  <c r="P131" i="28"/>
  <c r="M131" i="28"/>
  <c r="J131" i="28"/>
  <c r="G131" i="28"/>
  <c r="C131" i="28"/>
  <c r="B131" i="28"/>
  <c r="AB130" i="28"/>
  <c r="Y130" i="28"/>
  <c r="V130" i="28"/>
  <c r="S130" i="28"/>
  <c r="P130" i="28"/>
  <c r="M130" i="28"/>
  <c r="J130" i="28"/>
  <c r="G130" i="28"/>
  <c r="C130" i="28"/>
  <c r="B130" i="28"/>
  <c r="AB129" i="28"/>
  <c r="Y129" i="28"/>
  <c r="V129" i="28"/>
  <c r="S129" i="28"/>
  <c r="P129" i="28"/>
  <c r="M129" i="28"/>
  <c r="J129" i="28"/>
  <c r="G129" i="28"/>
  <c r="C129" i="28"/>
  <c r="B129" i="28"/>
  <c r="AB128" i="28"/>
  <c r="Y128" i="28"/>
  <c r="V128" i="28"/>
  <c r="S128" i="28"/>
  <c r="P128" i="28"/>
  <c r="M128" i="28"/>
  <c r="J128" i="28"/>
  <c r="G128" i="28"/>
  <c r="C128" i="28"/>
  <c r="B128" i="28"/>
  <c r="AB127" i="28"/>
  <c r="Y127" i="28"/>
  <c r="V127" i="28"/>
  <c r="S127" i="28"/>
  <c r="P127" i="28"/>
  <c r="M127" i="28"/>
  <c r="J127" i="28"/>
  <c r="G127" i="28"/>
  <c r="C127" i="28"/>
  <c r="B127" i="28"/>
  <c r="AB126" i="28"/>
  <c r="Y126" i="28"/>
  <c r="V126" i="28"/>
  <c r="S126" i="28"/>
  <c r="P126" i="28"/>
  <c r="M126" i="28"/>
  <c r="J126" i="28"/>
  <c r="G126" i="28"/>
  <c r="C126" i="28"/>
  <c r="B126" i="28"/>
  <c r="AB125" i="28"/>
  <c r="Y125" i="28"/>
  <c r="V125" i="28"/>
  <c r="S125" i="28"/>
  <c r="P125" i="28"/>
  <c r="M125" i="28"/>
  <c r="J125" i="28"/>
  <c r="G125" i="28"/>
  <c r="C125" i="28"/>
  <c r="B125" i="28"/>
  <c r="AB124" i="28"/>
  <c r="Y124" i="28"/>
  <c r="V124" i="28"/>
  <c r="S124" i="28"/>
  <c r="P124" i="28"/>
  <c r="M124" i="28"/>
  <c r="J124" i="28"/>
  <c r="G124" i="28"/>
  <c r="C124" i="28"/>
  <c r="B124" i="28"/>
  <c r="AB123" i="28"/>
  <c r="Y123" i="28"/>
  <c r="V123" i="28"/>
  <c r="S123" i="28"/>
  <c r="P123" i="28"/>
  <c r="M123" i="28"/>
  <c r="J123" i="28"/>
  <c r="G123" i="28"/>
  <c r="C123" i="28"/>
  <c r="B123" i="28"/>
  <c r="AB122" i="28"/>
  <c r="Y122" i="28"/>
  <c r="V122" i="28"/>
  <c r="S122" i="28"/>
  <c r="P122" i="28"/>
  <c r="M122" i="28"/>
  <c r="J122" i="28"/>
  <c r="G122" i="28"/>
  <c r="C122" i="28"/>
  <c r="B122" i="28"/>
  <c r="AB121" i="28"/>
  <c r="Y121" i="28"/>
  <c r="V121" i="28"/>
  <c r="S121" i="28"/>
  <c r="P121" i="28"/>
  <c r="M121" i="28"/>
  <c r="J121" i="28"/>
  <c r="G121" i="28"/>
  <c r="C121" i="28"/>
  <c r="B121" i="28"/>
  <c r="AB120" i="28"/>
  <c r="Y120" i="28"/>
  <c r="V120" i="28"/>
  <c r="S120" i="28"/>
  <c r="P120" i="28"/>
  <c r="M120" i="28"/>
  <c r="J120" i="28"/>
  <c r="G120" i="28"/>
  <c r="C120" i="28"/>
  <c r="B120" i="28"/>
  <c r="AB119" i="28"/>
  <c r="Y119" i="28"/>
  <c r="V119" i="28"/>
  <c r="S119" i="28"/>
  <c r="P119" i="28"/>
  <c r="M119" i="28"/>
  <c r="J119" i="28"/>
  <c r="G119" i="28"/>
  <c r="C119" i="28"/>
  <c r="B119" i="28"/>
  <c r="AB118" i="28"/>
  <c r="Y118" i="28"/>
  <c r="V118" i="28"/>
  <c r="S118" i="28"/>
  <c r="P118" i="28"/>
  <c r="M118" i="28"/>
  <c r="J118" i="28"/>
  <c r="G118" i="28"/>
  <c r="C118" i="28"/>
  <c r="B118" i="28"/>
  <c r="AB117" i="28"/>
  <c r="Y117" i="28"/>
  <c r="V117" i="28"/>
  <c r="S117" i="28"/>
  <c r="P117" i="28"/>
  <c r="M117" i="28"/>
  <c r="J117" i="28"/>
  <c r="G117" i="28"/>
  <c r="C117" i="28"/>
  <c r="B117" i="28"/>
  <c r="AA116" i="28"/>
  <c r="X116" i="28"/>
  <c r="U116" i="28"/>
  <c r="R116" i="28"/>
  <c r="O116" i="28"/>
  <c r="L116" i="28"/>
  <c r="I116" i="28"/>
  <c r="F116" i="28"/>
  <c r="AB115" i="28"/>
  <c r="Y115" i="28"/>
  <c r="V115" i="28"/>
  <c r="S115" i="28"/>
  <c r="P115" i="28"/>
  <c r="M115" i="28"/>
  <c r="J115" i="28"/>
  <c r="G115" i="28"/>
  <c r="C115" i="28"/>
  <c r="B115" i="28"/>
  <c r="AB114" i="28"/>
  <c r="Y114" i="28"/>
  <c r="V114" i="28"/>
  <c r="S114" i="28"/>
  <c r="P114" i="28"/>
  <c r="L114" i="28"/>
  <c r="M114" i="28" s="1"/>
  <c r="B114" i="28"/>
  <c r="G114" i="28"/>
  <c r="AB113" i="28"/>
  <c r="Y113" i="28"/>
  <c r="V113" i="28"/>
  <c r="S113" i="28"/>
  <c r="P113" i="28"/>
  <c r="M113" i="28"/>
  <c r="J113" i="28"/>
  <c r="G113" i="28"/>
  <c r="C113" i="28"/>
  <c r="B113" i="28"/>
  <c r="AB112" i="28"/>
  <c r="Y112" i="28"/>
  <c r="V112" i="28"/>
  <c r="S112" i="28"/>
  <c r="P112" i="28"/>
  <c r="M112" i="28"/>
  <c r="J112" i="28"/>
  <c r="G112" i="28"/>
  <c r="C112" i="28"/>
  <c r="B112" i="28"/>
  <c r="AB111" i="28"/>
  <c r="Y111" i="28"/>
  <c r="V111" i="28"/>
  <c r="S111" i="28"/>
  <c r="P111" i="28"/>
  <c r="M111" i="28"/>
  <c r="J111" i="28"/>
  <c r="G111" i="28"/>
  <c r="C111" i="28"/>
  <c r="B111" i="28"/>
  <c r="AB110" i="28"/>
  <c r="Y110" i="28"/>
  <c r="V110" i="28"/>
  <c r="S110" i="28"/>
  <c r="P110" i="28"/>
  <c r="M110" i="28"/>
  <c r="J110" i="28"/>
  <c r="G110" i="28"/>
  <c r="C110" i="28"/>
  <c r="B110" i="28"/>
  <c r="AB109" i="28"/>
  <c r="Y109" i="28"/>
  <c r="V109" i="28"/>
  <c r="S109" i="28"/>
  <c r="P109" i="28"/>
  <c r="M109" i="28"/>
  <c r="J109" i="28"/>
  <c r="G109" i="28"/>
  <c r="C109" i="28"/>
  <c r="B109" i="28"/>
  <c r="AB108" i="28"/>
  <c r="Y108" i="28"/>
  <c r="V108" i="28"/>
  <c r="S108" i="28"/>
  <c r="P108" i="28"/>
  <c r="L108" i="28"/>
  <c r="C108" i="28" s="1"/>
  <c r="J108" i="28"/>
  <c r="G108" i="28"/>
  <c r="AB107" i="28"/>
  <c r="Y107" i="28"/>
  <c r="V107" i="28"/>
  <c r="S107" i="28"/>
  <c r="P107" i="28"/>
  <c r="M107" i="28"/>
  <c r="J107" i="28"/>
  <c r="G107" i="28"/>
  <c r="C107" i="28"/>
  <c r="B107" i="28"/>
  <c r="AB106" i="28"/>
  <c r="Y106" i="28"/>
  <c r="V106" i="28"/>
  <c r="S106" i="28"/>
  <c r="P106" i="28"/>
  <c r="M106" i="28"/>
  <c r="J106" i="28"/>
  <c r="G106" i="28"/>
  <c r="C106" i="28"/>
  <c r="B106" i="28"/>
  <c r="AB105" i="28"/>
  <c r="Y105" i="28"/>
  <c r="V105" i="28"/>
  <c r="S105" i="28"/>
  <c r="P105" i="28"/>
  <c r="L105" i="28"/>
  <c r="C105" i="28" s="1"/>
  <c r="J105" i="28"/>
  <c r="G105" i="28"/>
  <c r="AB104" i="28"/>
  <c r="Y104" i="28"/>
  <c r="V104" i="28"/>
  <c r="S104" i="28"/>
  <c r="P104" i="28"/>
  <c r="M104" i="28"/>
  <c r="J104" i="28"/>
  <c r="G104" i="28"/>
  <c r="C104" i="28"/>
  <c r="B104" i="28"/>
  <c r="AB103" i="28"/>
  <c r="Y103" i="28"/>
  <c r="V103" i="28"/>
  <c r="S103" i="28"/>
  <c r="P103" i="28"/>
  <c r="M103" i="28"/>
  <c r="J103" i="28"/>
  <c r="G103" i="28"/>
  <c r="C103" i="28"/>
  <c r="B103" i="28"/>
  <c r="AB102" i="28"/>
  <c r="Y102" i="28"/>
  <c r="V102" i="28"/>
  <c r="S102" i="28"/>
  <c r="P102" i="28"/>
  <c r="L102" i="28"/>
  <c r="C102" i="28" s="1"/>
  <c r="J102" i="28"/>
  <c r="G102" i="28"/>
  <c r="AB101" i="28"/>
  <c r="Y101" i="28"/>
  <c r="V101" i="28"/>
  <c r="S101" i="28"/>
  <c r="P101" i="28"/>
  <c r="L101" i="28"/>
  <c r="M101" i="28" s="1"/>
  <c r="J101" i="28"/>
  <c r="G101" i="28"/>
  <c r="B101" i="28"/>
  <c r="AB100" i="28"/>
  <c r="Y100" i="28"/>
  <c r="V100" i="28"/>
  <c r="S100" i="28"/>
  <c r="P100" i="28"/>
  <c r="M100" i="28"/>
  <c r="J100" i="28"/>
  <c r="G100" i="28"/>
  <c r="C100" i="28"/>
  <c r="B100" i="28"/>
  <c r="AB99" i="28"/>
  <c r="Y99" i="28"/>
  <c r="V99" i="28"/>
  <c r="S99" i="28"/>
  <c r="P99" i="28"/>
  <c r="M99" i="28"/>
  <c r="J99" i="28"/>
  <c r="G99" i="28"/>
  <c r="C99" i="28"/>
  <c r="B99" i="28"/>
  <c r="AB98" i="28"/>
  <c r="Y98" i="28"/>
  <c r="V98" i="28"/>
  <c r="S98" i="28"/>
  <c r="P98" i="28"/>
  <c r="L98" i="28"/>
  <c r="C98" i="28" s="1"/>
  <c r="J98" i="28"/>
  <c r="G98" i="28"/>
  <c r="AB97" i="28"/>
  <c r="Y97" i="28"/>
  <c r="V97" i="28"/>
  <c r="S97" i="28"/>
  <c r="P97" i="28"/>
  <c r="M97" i="28"/>
  <c r="J97" i="28"/>
  <c r="G97" i="28"/>
  <c r="C97" i="28"/>
  <c r="AB96" i="28"/>
  <c r="Y96" i="28"/>
  <c r="V96" i="28"/>
  <c r="S96" i="28"/>
  <c r="P96" i="28"/>
  <c r="M96" i="28"/>
  <c r="J96" i="28"/>
  <c r="G96" i="28"/>
  <c r="C96" i="28"/>
  <c r="B96" i="28"/>
  <c r="AB95" i="28"/>
  <c r="Y95" i="28"/>
  <c r="V95" i="28"/>
  <c r="S95" i="28"/>
  <c r="P95" i="28"/>
  <c r="M95" i="28"/>
  <c r="I95" i="28"/>
  <c r="C95" i="28" s="1"/>
  <c r="G95" i="28"/>
  <c r="AB94" i="28"/>
  <c r="Y94" i="28"/>
  <c r="V94" i="28"/>
  <c r="S94" i="28"/>
  <c r="P94" i="28"/>
  <c r="M94" i="28"/>
  <c r="J94" i="28"/>
  <c r="G94" i="28"/>
  <c r="C94" i="28"/>
  <c r="B94" i="28"/>
  <c r="AB93" i="28"/>
  <c r="Y93" i="28"/>
  <c r="V93" i="28"/>
  <c r="S93" i="28"/>
  <c r="P93" i="28"/>
  <c r="M93" i="28"/>
  <c r="J93" i="28"/>
  <c r="G93" i="28"/>
  <c r="C93" i="28"/>
  <c r="B93" i="28"/>
  <c r="AB92" i="28"/>
  <c r="Y92" i="28"/>
  <c r="V92" i="28"/>
  <c r="S92" i="28"/>
  <c r="P92" i="28"/>
  <c r="M92" i="28"/>
  <c r="J92" i="28"/>
  <c r="G92" i="28"/>
  <c r="C92" i="28"/>
  <c r="B92" i="28"/>
  <c r="AB91" i="28"/>
  <c r="Y91" i="28"/>
  <c r="V91" i="28"/>
  <c r="S91" i="28"/>
  <c r="P91" i="28"/>
  <c r="L91" i="28"/>
  <c r="J91" i="28"/>
  <c r="G91" i="28"/>
  <c r="AB90" i="28"/>
  <c r="Y90" i="28"/>
  <c r="V90" i="28"/>
  <c r="S90" i="28"/>
  <c r="P90" i="28"/>
  <c r="M90" i="28"/>
  <c r="J90" i="28"/>
  <c r="G90" i="28"/>
  <c r="C90" i="28"/>
  <c r="B90" i="28"/>
  <c r="AB89" i="28"/>
  <c r="Y89" i="28"/>
  <c r="V89" i="28"/>
  <c r="S89" i="28"/>
  <c r="P89" i="28"/>
  <c r="M89" i="28"/>
  <c r="I89" i="28"/>
  <c r="J89" i="28" s="1"/>
  <c r="G89" i="28"/>
  <c r="C89" i="28"/>
  <c r="AB88" i="28"/>
  <c r="Y88" i="28"/>
  <c r="V88" i="28"/>
  <c r="S88" i="28"/>
  <c r="P88" i="28"/>
  <c r="M88" i="28"/>
  <c r="J88" i="28"/>
  <c r="G88" i="28"/>
  <c r="C88" i="28"/>
  <c r="B88" i="28"/>
  <c r="AB87" i="28"/>
  <c r="Y87" i="28"/>
  <c r="V87" i="28"/>
  <c r="S87" i="28"/>
  <c r="P87" i="28"/>
  <c r="M87" i="28"/>
  <c r="J87" i="28"/>
  <c r="G87" i="28"/>
  <c r="C87" i="28"/>
  <c r="B87" i="28"/>
  <c r="AB86" i="28"/>
  <c r="Y86" i="28"/>
  <c r="V86" i="28"/>
  <c r="S86" i="28"/>
  <c r="P86" i="28"/>
  <c r="M86" i="28"/>
  <c r="J86" i="28"/>
  <c r="G86" i="28"/>
  <c r="C86" i="28"/>
  <c r="B86" i="28"/>
  <c r="AB85" i="28"/>
  <c r="Y85" i="28"/>
  <c r="V85" i="28"/>
  <c r="S85" i="28"/>
  <c r="P85" i="28"/>
  <c r="M85" i="28"/>
  <c r="J85" i="28"/>
  <c r="G85" i="28"/>
  <c r="C85" i="28"/>
  <c r="B85" i="28"/>
  <c r="AB84" i="28"/>
  <c r="Y84" i="28"/>
  <c r="V84" i="28"/>
  <c r="S84" i="28"/>
  <c r="P84" i="28"/>
  <c r="M84" i="28"/>
  <c r="J84" i="28"/>
  <c r="G84" i="28"/>
  <c r="C84" i="28"/>
  <c r="B84" i="28"/>
  <c r="AB83" i="28"/>
  <c r="Y83" i="28"/>
  <c r="V83" i="28"/>
  <c r="S83" i="28"/>
  <c r="P83" i="28"/>
  <c r="M83" i="28"/>
  <c r="J83" i="28"/>
  <c r="G83" i="28"/>
  <c r="C83" i="28"/>
  <c r="B83" i="28"/>
  <c r="AB82" i="28"/>
  <c r="Y82" i="28"/>
  <c r="V82" i="28"/>
  <c r="S82" i="28"/>
  <c r="P82" i="28"/>
  <c r="L82" i="28"/>
  <c r="J82" i="28"/>
  <c r="I82" i="28"/>
  <c r="G82" i="28"/>
  <c r="C82" i="28"/>
  <c r="AB81" i="28"/>
  <c r="Y81" i="28"/>
  <c r="V81" i="28"/>
  <c r="S81" i="28"/>
  <c r="P81" i="28"/>
  <c r="M81" i="28"/>
  <c r="J81" i="28"/>
  <c r="G81" i="28"/>
  <c r="C81" i="28"/>
  <c r="B81" i="28"/>
  <c r="AB80" i="28"/>
  <c r="Y80" i="28"/>
  <c r="V80" i="28"/>
  <c r="S80" i="28"/>
  <c r="P80" i="28"/>
  <c r="L80" i="28"/>
  <c r="M80" i="28" s="1"/>
  <c r="I80" i="28"/>
  <c r="G80" i="28"/>
  <c r="B80" i="28"/>
  <c r="AA79" i="28"/>
  <c r="X79" i="28"/>
  <c r="U79" i="28"/>
  <c r="R79" i="28"/>
  <c r="O79" i="28"/>
  <c r="F79" i="28"/>
  <c r="AB78" i="28"/>
  <c r="Y78" i="28"/>
  <c r="V78" i="28"/>
  <c r="S78" i="28"/>
  <c r="P78" i="28"/>
  <c r="M78" i="28"/>
  <c r="J78" i="28"/>
  <c r="G78" i="28"/>
  <c r="C78" i="28"/>
  <c r="B78" i="28"/>
  <c r="AB77" i="28"/>
  <c r="Y77" i="28"/>
  <c r="U77" i="28"/>
  <c r="C77" i="28" s="1"/>
  <c r="S77" i="28"/>
  <c r="P77" i="28"/>
  <c r="M77" i="28"/>
  <c r="J77" i="28"/>
  <c r="G77" i="28"/>
  <c r="B77" i="28"/>
  <c r="AB76" i="28"/>
  <c r="Y76" i="28"/>
  <c r="V76" i="28"/>
  <c r="S76" i="28"/>
  <c r="P76" i="28"/>
  <c r="M76" i="28"/>
  <c r="J76" i="28"/>
  <c r="G76" i="28"/>
  <c r="C76" i="28"/>
  <c r="B76" i="28"/>
  <c r="AB75" i="28"/>
  <c r="Y75" i="28"/>
  <c r="V75" i="28"/>
  <c r="S75" i="28"/>
  <c r="P75" i="28"/>
  <c r="M75" i="28"/>
  <c r="J75" i="28"/>
  <c r="G75" i="28"/>
  <c r="C75" i="28"/>
  <c r="B75" i="28"/>
  <c r="AB74" i="28"/>
  <c r="Y74" i="28"/>
  <c r="V74" i="28"/>
  <c r="S74" i="28"/>
  <c r="P74" i="28"/>
  <c r="M74" i="28"/>
  <c r="J74" i="28"/>
  <c r="G74" i="28"/>
  <c r="C74" i="28"/>
  <c r="B74" i="28"/>
  <c r="AB73" i="28"/>
  <c r="Y73" i="28"/>
  <c r="V73" i="28"/>
  <c r="S73" i="28"/>
  <c r="P73" i="28"/>
  <c r="M73" i="28"/>
  <c r="J73" i="28"/>
  <c r="G73" i="28"/>
  <c r="C73" i="28"/>
  <c r="B73" i="28"/>
  <c r="AB72" i="28"/>
  <c r="Y72" i="28"/>
  <c r="V72" i="28"/>
  <c r="S72" i="28"/>
  <c r="P72" i="28"/>
  <c r="M72" i="28"/>
  <c r="J72" i="28"/>
  <c r="AB71" i="28"/>
  <c r="Y71" i="28"/>
  <c r="V71" i="28"/>
  <c r="S71" i="28"/>
  <c r="P71" i="28"/>
  <c r="M71" i="28"/>
  <c r="J71" i="28"/>
  <c r="G71" i="28"/>
  <c r="C71" i="28"/>
  <c r="B71" i="28"/>
  <c r="AB70" i="28"/>
  <c r="Y70" i="28"/>
  <c r="V70" i="28"/>
  <c r="S70" i="28"/>
  <c r="P70" i="28"/>
  <c r="M70" i="28"/>
  <c r="J70" i="28"/>
  <c r="G70" i="28"/>
  <c r="C70" i="28"/>
  <c r="B70" i="28"/>
  <c r="AB69" i="28"/>
  <c r="Y69" i="28"/>
  <c r="V69" i="28"/>
  <c r="S69" i="28"/>
  <c r="P69" i="28"/>
  <c r="M69" i="28"/>
  <c r="J69" i="28"/>
  <c r="G69" i="28"/>
  <c r="C69" i="28"/>
  <c r="B69" i="28"/>
  <c r="AB68" i="28"/>
  <c r="Y68" i="28"/>
  <c r="V68" i="28"/>
  <c r="S68" i="28"/>
  <c r="P68" i="28"/>
  <c r="M68" i="28"/>
  <c r="J68" i="28"/>
  <c r="G68" i="28"/>
  <c r="C68" i="28"/>
  <c r="B68" i="28"/>
  <c r="AB67" i="28"/>
  <c r="Y67" i="28"/>
  <c r="V67" i="28"/>
  <c r="S67" i="28"/>
  <c r="P67" i="28"/>
  <c r="M67" i="28"/>
  <c r="J67" i="28"/>
  <c r="G67" i="28"/>
  <c r="C67" i="28"/>
  <c r="B67" i="28"/>
  <c r="AB66" i="28"/>
  <c r="Y66" i="28"/>
  <c r="V66" i="28"/>
  <c r="S66" i="28"/>
  <c r="P66" i="28"/>
  <c r="M66" i="28"/>
  <c r="J66" i="28"/>
  <c r="G66" i="28"/>
  <c r="C66" i="28"/>
  <c r="B66" i="28"/>
  <c r="AB63" i="28"/>
  <c r="Y63" i="28"/>
  <c r="V63" i="28"/>
  <c r="S63" i="28"/>
  <c r="O63" i="28"/>
  <c r="B63" i="28"/>
  <c r="M63" i="28"/>
  <c r="J63" i="28"/>
  <c r="G63" i="28"/>
  <c r="AB62" i="28"/>
  <c r="Y62" i="28"/>
  <c r="V62" i="28"/>
  <c r="S62" i="28"/>
  <c r="P62" i="28"/>
  <c r="M62" i="28"/>
  <c r="J62" i="28"/>
  <c r="G62" i="28"/>
  <c r="C62" i="28"/>
  <c r="B62" i="28"/>
  <c r="AB61" i="28"/>
  <c r="Y61" i="28"/>
  <c r="V61" i="28"/>
  <c r="S61" i="28"/>
  <c r="P61" i="28"/>
  <c r="M61" i="28"/>
  <c r="J61" i="28"/>
  <c r="G61" i="28"/>
  <c r="C61" i="28"/>
  <c r="B61" i="28"/>
  <c r="AB60" i="28"/>
  <c r="Y60" i="28"/>
  <c r="V60" i="28"/>
  <c r="S60" i="28"/>
  <c r="P60" i="28"/>
  <c r="M60" i="28"/>
  <c r="J60" i="28"/>
  <c r="G60" i="28"/>
  <c r="C60" i="28"/>
  <c r="B60" i="28"/>
  <c r="AB59" i="28"/>
  <c r="Y59" i="28"/>
  <c r="V59" i="28"/>
  <c r="S59" i="28"/>
  <c r="P59" i="28"/>
  <c r="M59" i="28"/>
  <c r="J59" i="28"/>
  <c r="G59" i="28"/>
  <c r="C59" i="28"/>
  <c r="B59" i="28"/>
  <c r="AB58" i="28"/>
  <c r="Y58" i="28"/>
  <c r="V58" i="28"/>
  <c r="S58" i="28"/>
  <c r="P58" i="28"/>
  <c r="M58" i="28"/>
  <c r="J58" i="28"/>
  <c r="G58" i="28"/>
  <c r="C58" i="28"/>
  <c r="B58" i="28"/>
  <c r="AB57" i="28"/>
  <c r="Y57" i="28"/>
  <c r="V57" i="28"/>
  <c r="S57" i="28"/>
  <c r="P57" i="28"/>
  <c r="M57" i="28"/>
  <c r="I57" i="28"/>
  <c r="C57" i="28" s="1"/>
  <c r="G57" i="28"/>
  <c r="B57" i="28"/>
  <c r="P56" i="28"/>
  <c r="M56" i="28"/>
  <c r="J56" i="28"/>
  <c r="G56" i="28"/>
  <c r="C56" i="28"/>
  <c r="B56" i="28"/>
  <c r="AB55" i="28"/>
  <c r="Y55" i="28"/>
  <c r="V55" i="28"/>
  <c r="S55" i="28"/>
  <c r="P55" i="28"/>
  <c r="M55" i="28"/>
  <c r="J55" i="28"/>
  <c r="G55" i="28"/>
  <c r="C55" i="28"/>
  <c r="B55" i="28"/>
  <c r="AB54" i="28"/>
  <c r="Y54" i="28"/>
  <c r="V54" i="28"/>
  <c r="S54" i="28"/>
  <c r="O54" i="28"/>
  <c r="M54" i="28"/>
  <c r="J54" i="28"/>
  <c r="G54" i="28"/>
  <c r="B54" i="28"/>
  <c r="AA53" i="28"/>
  <c r="X53" i="28"/>
  <c r="U53" i="28"/>
  <c r="R53" i="28"/>
  <c r="L53" i="28"/>
  <c r="L52" i="28" s="1"/>
  <c r="F53" i="28"/>
  <c r="AB51" i="28"/>
  <c r="Y51" i="28"/>
  <c r="V51" i="28"/>
  <c r="S51" i="28"/>
  <c r="P51" i="28"/>
  <c r="M51" i="28"/>
  <c r="J51" i="28"/>
  <c r="G51" i="28"/>
  <c r="C51" i="28"/>
  <c r="B51" i="28"/>
  <c r="AB50" i="28"/>
  <c r="Y50" i="28"/>
  <c r="V50" i="28"/>
  <c r="R50" i="28"/>
  <c r="S50" i="28" s="1"/>
  <c r="P50" i="28"/>
  <c r="M50" i="28"/>
  <c r="J50" i="28"/>
  <c r="G50" i="28"/>
  <c r="C50" i="28"/>
  <c r="AB49" i="28"/>
  <c r="Y49" i="28"/>
  <c r="V49" i="28"/>
  <c r="S49" i="28"/>
  <c r="P49" i="28"/>
  <c r="M49" i="28"/>
  <c r="J49" i="28"/>
  <c r="G49" i="28"/>
  <c r="C49" i="28"/>
  <c r="B49" i="28"/>
  <c r="AA48" i="28"/>
  <c r="X48" i="28"/>
  <c r="X47" i="28" s="1"/>
  <c r="U48" i="28"/>
  <c r="O48" i="28"/>
  <c r="L48" i="28"/>
  <c r="L47" i="28" s="1"/>
  <c r="I48" i="28"/>
  <c r="F48" i="28"/>
  <c r="F47" i="28" s="1"/>
  <c r="AA47" i="28"/>
  <c r="AB46" i="28"/>
  <c r="Y46" i="28"/>
  <c r="V46" i="28"/>
  <c r="S46" i="28"/>
  <c r="P46" i="28"/>
  <c r="M46" i="28"/>
  <c r="J46" i="28"/>
  <c r="G46" i="28"/>
  <c r="C46" i="28"/>
  <c r="B46" i="28"/>
  <c r="AB45" i="28"/>
  <c r="Y45" i="28"/>
  <c r="V45" i="28"/>
  <c r="S45" i="28"/>
  <c r="P45" i="28"/>
  <c r="M45" i="28"/>
  <c r="J45" i="28"/>
  <c r="F45" i="28"/>
  <c r="G45" i="28" s="1"/>
  <c r="C45" i="28"/>
  <c r="AB44" i="28"/>
  <c r="Y44" i="28"/>
  <c r="V44" i="28"/>
  <c r="S44" i="28"/>
  <c r="P44" i="28"/>
  <c r="M44" i="28"/>
  <c r="J44" i="28"/>
  <c r="G44" i="28"/>
  <c r="C44" i="28"/>
  <c r="B44" i="28"/>
  <c r="AB43" i="28"/>
  <c r="Y43" i="28"/>
  <c r="V43" i="28"/>
  <c r="S43" i="28"/>
  <c r="P43" i="28"/>
  <c r="M43" i="28"/>
  <c r="J43" i="28"/>
  <c r="G43" i="28"/>
  <c r="C43" i="28"/>
  <c r="B43" i="28"/>
  <c r="AB42" i="28"/>
  <c r="Y42" i="28"/>
  <c r="V42" i="28"/>
  <c r="S42" i="28"/>
  <c r="P42" i="28"/>
  <c r="M42" i="28"/>
  <c r="J42" i="28"/>
  <c r="G42" i="28"/>
  <c r="C42" i="28"/>
  <c r="B42" i="28"/>
  <c r="AB41" i="28"/>
  <c r="Y41" i="28"/>
  <c r="V41" i="28"/>
  <c r="S41" i="28"/>
  <c r="P41" i="28"/>
  <c r="J41" i="28"/>
  <c r="C41" i="28"/>
  <c r="AB40" i="28"/>
  <c r="Y40" i="28"/>
  <c r="V40" i="28"/>
  <c r="S40" i="28"/>
  <c r="P40" i="28"/>
  <c r="L40" i="28"/>
  <c r="C40" i="28" s="1"/>
  <c r="J40" i="28"/>
  <c r="G40" i="28"/>
  <c r="AB39" i="28"/>
  <c r="Y39" i="28"/>
  <c r="V39" i="28"/>
  <c r="S39" i="28"/>
  <c r="P39" i="28"/>
  <c r="M39" i="28"/>
  <c r="J39" i="28"/>
  <c r="G39" i="28"/>
  <c r="C39" i="28"/>
  <c r="B39" i="28"/>
  <c r="AB38" i="28"/>
  <c r="Y38" i="28"/>
  <c r="V38" i="28"/>
  <c r="S38" i="28"/>
  <c r="P38" i="28"/>
  <c r="M38" i="28"/>
  <c r="J38" i="28"/>
  <c r="G38" i="28"/>
  <c r="C38" i="28"/>
  <c r="B38" i="28"/>
  <c r="AA37" i="28"/>
  <c r="X37" i="28"/>
  <c r="U37" i="28"/>
  <c r="R37" i="28"/>
  <c r="R36" i="28" s="1"/>
  <c r="O37" i="28"/>
  <c r="L37" i="28"/>
  <c r="L36" i="28" s="1"/>
  <c r="I37" i="28"/>
  <c r="I36" i="28" s="1"/>
  <c r="AA35" i="28"/>
  <c r="Y35" i="28"/>
  <c r="V35" i="28"/>
  <c r="S35" i="28"/>
  <c r="P35" i="28"/>
  <c r="M35" i="28"/>
  <c r="J35" i="28"/>
  <c r="G35" i="28"/>
  <c r="AB34" i="28"/>
  <c r="Y34" i="28"/>
  <c r="V34" i="28"/>
  <c r="S34" i="28"/>
  <c r="P34" i="28"/>
  <c r="M34" i="28"/>
  <c r="J34" i="28"/>
  <c r="G34" i="28"/>
  <c r="C34" i="28"/>
  <c r="B34" i="28"/>
  <c r="AB33" i="28"/>
  <c r="Y33" i="28"/>
  <c r="U33" i="28"/>
  <c r="C33" i="28" s="1"/>
  <c r="S33" i="28"/>
  <c r="P33" i="28"/>
  <c r="M33" i="28"/>
  <c r="J33" i="28"/>
  <c r="G33" i="28"/>
  <c r="AB32" i="28"/>
  <c r="Y32" i="28"/>
  <c r="V32" i="28"/>
  <c r="S32" i="28"/>
  <c r="P32" i="28"/>
  <c r="M32" i="28"/>
  <c r="J32" i="28"/>
  <c r="F32" i="28"/>
  <c r="C32" i="28" s="1"/>
  <c r="AB31" i="28"/>
  <c r="Y31" i="28"/>
  <c r="U31" i="28"/>
  <c r="S31" i="28"/>
  <c r="P31" i="28"/>
  <c r="M31" i="28"/>
  <c r="J31" i="28"/>
  <c r="G31" i="28"/>
  <c r="C31" i="28"/>
  <c r="AB30" i="28"/>
  <c r="Y30" i="28"/>
  <c r="V30" i="28"/>
  <c r="S30" i="28"/>
  <c r="P30" i="28"/>
  <c r="M30" i="28"/>
  <c r="J30" i="28"/>
  <c r="G30" i="28"/>
  <c r="C30" i="28"/>
  <c r="B30" i="28"/>
  <c r="AB29" i="28"/>
  <c r="Y29" i="28"/>
  <c r="V29" i="28"/>
  <c r="S29" i="28"/>
  <c r="P29" i="28"/>
  <c r="M29" i="28"/>
  <c r="J29" i="28"/>
  <c r="G29" i="28"/>
  <c r="C29" i="28"/>
  <c r="B29" i="28"/>
  <c r="AB28" i="28"/>
  <c r="Y28" i="28"/>
  <c r="V28" i="28"/>
  <c r="S28" i="28"/>
  <c r="P28" i="28"/>
  <c r="M28" i="28"/>
  <c r="J28" i="28"/>
  <c r="G28" i="28"/>
  <c r="C28" i="28"/>
  <c r="B28" i="28"/>
  <c r="AB27" i="28"/>
  <c r="Y27" i="28"/>
  <c r="V27" i="28"/>
  <c r="S27" i="28"/>
  <c r="P27" i="28"/>
  <c r="M27" i="28"/>
  <c r="J27" i="28"/>
  <c r="G27" i="28"/>
  <c r="C27" i="28"/>
  <c r="B27" i="28"/>
  <c r="AB26" i="28"/>
  <c r="Y26" i="28"/>
  <c r="V26" i="28"/>
  <c r="S26" i="28"/>
  <c r="P26" i="28"/>
  <c r="M26" i="28"/>
  <c r="J26" i="28"/>
  <c r="G26" i="28"/>
  <c r="C26" i="28"/>
  <c r="B26" i="28"/>
  <c r="AB25" i="28"/>
  <c r="Y25" i="28"/>
  <c r="V25" i="28"/>
  <c r="S25" i="28"/>
  <c r="P25" i="28"/>
  <c r="M25" i="28"/>
  <c r="J25" i="28"/>
  <c r="G25" i="28"/>
  <c r="C25" i="28"/>
  <c r="B25" i="28"/>
  <c r="AB24" i="28"/>
  <c r="Y24" i="28"/>
  <c r="V24" i="28"/>
  <c r="S24" i="28"/>
  <c r="P24" i="28"/>
  <c r="M24" i="28"/>
  <c r="J24" i="28"/>
  <c r="G24" i="28"/>
  <c r="C24" i="28"/>
  <c r="B24" i="28"/>
  <c r="AB23" i="28"/>
  <c r="Y23" i="28"/>
  <c r="V23" i="28"/>
  <c r="S23" i="28"/>
  <c r="P23" i="28"/>
  <c r="M23" i="28"/>
  <c r="J23" i="28"/>
  <c r="G23" i="28"/>
  <c r="C23" i="28"/>
  <c r="B23" i="28"/>
  <c r="AB22" i="28"/>
  <c r="Y22" i="28"/>
  <c r="V22" i="28"/>
  <c r="S22" i="28"/>
  <c r="P22" i="28"/>
  <c r="M22" i="28"/>
  <c r="J22" i="28"/>
  <c r="F22" i="28"/>
  <c r="G22" i="28" s="1"/>
  <c r="AA21" i="28"/>
  <c r="AA20" i="28" s="1"/>
  <c r="X21" i="28"/>
  <c r="R21" i="28"/>
  <c r="R20" i="28" s="1"/>
  <c r="O21" i="28"/>
  <c r="L21" i="28"/>
  <c r="L20" i="28" s="1"/>
  <c r="I21" i="28"/>
  <c r="AB19" i="28"/>
  <c r="Y19" i="28"/>
  <c r="V19" i="28"/>
  <c r="S19" i="28"/>
  <c r="P19" i="28"/>
  <c r="M19" i="28"/>
  <c r="J19" i="28"/>
  <c r="G19" i="28"/>
  <c r="C19" i="28"/>
  <c r="B19" i="28"/>
  <c r="AB18" i="28"/>
  <c r="Y18" i="28"/>
  <c r="V18" i="28"/>
  <c r="S18" i="28"/>
  <c r="P18" i="28"/>
  <c r="M18" i="28"/>
  <c r="I18" i="28"/>
  <c r="G18" i="28"/>
  <c r="B18" i="28"/>
  <c r="AB17" i="28"/>
  <c r="Y17" i="28"/>
  <c r="V17" i="28"/>
  <c r="S17" i="28"/>
  <c r="P17" i="28"/>
  <c r="M17" i="28"/>
  <c r="J17" i="28"/>
  <c r="G17" i="28"/>
  <c r="C17" i="28"/>
  <c r="B17" i="28"/>
  <c r="AB16" i="28"/>
  <c r="Y16" i="28"/>
  <c r="V16" i="28"/>
  <c r="S16" i="28"/>
  <c r="P16" i="28"/>
  <c r="M16" i="28"/>
  <c r="J16" i="28"/>
  <c r="G16" i="28"/>
  <c r="C16" i="28"/>
  <c r="B16" i="28"/>
  <c r="AB15" i="28"/>
  <c r="Y15" i="28"/>
  <c r="V15" i="28"/>
  <c r="S15" i="28"/>
  <c r="P15" i="28"/>
  <c r="M15" i="28"/>
  <c r="J15" i="28"/>
  <c r="G15" i="28"/>
  <c r="C15" i="28"/>
  <c r="B15" i="28"/>
  <c r="AB14" i="28"/>
  <c r="Y14" i="28"/>
  <c r="V14" i="28"/>
  <c r="S14" i="28"/>
  <c r="P14" i="28"/>
  <c r="M14" i="28"/>
  <c r="J14" i="28"/>
  <c r="G14" i="28"/>
  <c r="C14" i="28"/>
  <c r="B14" i="28"/>
  <c r="AB13" i="28"/>
  <c r="Y13" i="28"/>
  <c r="V13" i="28"/>
  <c r="S13" i="28"/>
  <c r="P13" i="28"/>
  <c r="M13" i="28"/>
  <c r="J13" i="28"/>
  <c r="G13" i="28"/>
  <c r="C13" i="28"/>
  <c r="B13" i="28"/>
  <c r="AB12" i="28"/>
  <c r="Y12" i="28"/>
  <c r="V12" i="28"/>
  <c r="S12" i="28"/>
  <c r="P12" i="28"/>
  <c r="M12" i="28"/>
  <c r="J12" i="28"/>
  <c r="G12" i="28"/>
  <c r="C12" i="28"/>
  <c r="B12" i="28"/>
  <c r="AA11" i="28"/>
  <c r="AA10" i="28" s="1"/>
  <c r="X11" i="28"/>
  <c r="X10" i="28" s="1"/>
  <c r="U11" i="28"/>
  <c r="R11" i="28"/>
  <c r="R10" i="28" s="1"/>
  <c r="O11" i="28"/>
  <c r="O10" i="28" s="1"/>
  <c r="L11" i="28"/>
  <c r="L10" i="28" s="1"/>
  <c r="F11" i="28"/>
  <c r="F10" i="28" s="1"/>
  <c r="G152" i="28" l="1"/>
  <c r="B284" i="28"/>
  <c r="B35" i="28"/>
  <c r="M359" i="28"/>
  <c r="D359" i="28" s="1"/>
  <c r="K350" i="28"/>
  <c r="J18" i="28"/>
  <c r="F37" i="28"/>
  <c r="F36" i="28" s="1"/>
  <c r="B91" i="28"/>
  <c r="P166" i="28"/>
  <c r="V211" i="28"/>
  <c r="M240" i="28"/>
  <c r="D240" i="28" s="1"/>
  <c r="K210" i="28"/>
  <c r="K209" i="28" s="1"/>
  <c r="C212" i="28"/>
  <c r="J57" i="28"/>
  <c r="C101" i="28"/>
  <c r="S227" i="28"/>
  <c r="M228" i="28"/>
  <c r="M284" i="28"/>
  <c r="F329" i="28"/>
  <c r="F310" i="28" s="1"/>
  <c r="AA329" i="28"/>
  <c r="AA310" i="28" s="1"/>
  <c r="J344" i="28"/>
  <c r="S377" i="28"/>
  <c r="B380" i="28"/>
  <c r="E21" i="28"/>
  <c r="E20" i="28" s="1"/>
  <c r="E9" i="28" s="1"/>
  <c r="N53" i="28"/>
  <c r="N52" i="28" s="1"/>
  <c r="N305" i="28"/>
  <c r="Q234" i="28"/>
  <c r="W65" i="28"/>
  <c r="W64" i="28" s="1"/>
  <c r="W197" i="28"/>
  <c r="I11" i="28"/>
  <c r="C18" i="28"/>
  <c r="U21" i="28"/>
  <c r="U20" i="28" s="1"/>
  <c r="R48" i="28"/>
  <c r="R47" i="28" s="1"/>
  <c r="V77" i="28"/>
  <c r="M102" i="28"/>
  <c r="D102" i="28" s="1"/>
  <c r="C153" i="28"/>
  <c r="U210" i="28"/>
  <c r="S226" i="28"/>
  <c r="AB337" i="28"/>
  <c r="M204" i="28"/>
  <c r="D204" i="28" s="1"/>
  <c r="M365" i="28"/>
  <c r="Q210" i="28"/>
  <c r="O171" i="28"/>
  <c r="O170" i="28" s="1"/>
  <c r="P170" i="28" s="1"/>
  <c r="C114" i="28"/>
  <c r="H79" i="28"/>
  <c r="H65" i="28" s="1"/>
  <c r="H64" i="28" s="1"/>
  <c r="M40" i="28"/>
  <c r="I53" i="28"/>
  <c r="I52" i="28" s="1"/>
  <c r="I149" i="28"/>
  <c r="I148" i="28" s="1"/>
  <c r="M180" i="28"/>
  <c r="C325" i="28"/>
  <c r="M98" i="28"/>
  <c r="D98" i="28" s="1"/>
  <c r="K203" i="28"/>
  <c r="M203" i="28" s="1"/>
  <c r="K329" i="28"/>
  <c r="S293" i="28"/>
  <c r="S393" i="28"/>
  <c r="G420" i="28"/>
  <c r="S276" i="28"/>
  <c r="P48" i="28"/>
  <c r="J350" i="28"/>
  <c r="Q65" i="28"/>
  <c r="Q64" i="28" s="1"/>
  <c r="Q9" i="28" s="1"/>
  <c r="Y203" i="28"/>
  <c r="Y278" i="28"/>
  <c r="AB308" i="28"/>
  <c r="AB291" i="28"/>
  <c r="AB384" i="28"/>
  <c r="G393" i="28"/>
  <c r="G234" i="28"/>
  <c r="AB270" i="28"/>
  <c r="S194" i="28"/>
  <c r="I197" i="28"/>
  <c r="V230" i="28"/>
  <c r="AB276" i="28"/>
  <c r="J278" i="28"/>
  <c r="P323" i="28"/>
  <c r="J21" i="28"/>
  <c r="S179" i="28"/>
  <c r="Y350" i="28"/>
  <c r="P384" i="28"/>
  <c r="AB192" i="28"/>
  <c r="AB358" i="28"/>
  <c r="AB420" i="28"/>
  <c r="E65" i="28"/>
  <c r="E64" i="28" s="1"/>
  <c r="H197" i="28"/>
  <c r="F65" i="28"/>
  <c r="F64" i="28" s="1"/>
  <c r="V53" i="28"/>
  <c r="AA65" i="28"/>
  <c r="AA64" i="28" s="1"/>
  <c r="V188" i="28"/>
  <c r="V283" i="28"/>
  <c r="S305" i="28"/>
  <c r="V384" i="28"/>
  <c r="V397" i="28"/>
  <c r="J234" i="28"/>
  <c r="AB234" i="28"/>
  <c r="Y210" i="28"/>
  <c r="AB278" i="28"/>
  <c r="V305" i="28"/>
  <c r="V350" i="28"/>
  <c r="Z264" i="28"/>
  <c r="AB116" i="28"/>
  <c r="Y186" i="28"/>
  <c r="G192" i="28"/>
  <c r="S203" i="28"/>
  <c r="P230" i="28"/>
  <c r="V265" i="28"/>
  <c r="J300" i="28"/>
  <c r="Y311" i="28"/>
  <c r="S323" i="28"/>
  <c r="S358" i="28"/>
  <c r="J379" i="28"/>
  <c r="Y379" i="28"/>
  <c r="J395" i="28"/>
  <c r="V293" i="28"/>
  <c r="F264" i="28"/>
  <c r="J311" i="28"/>
  <c r="V37" i="28"/>
  <c r="S116" i="28"/>
  <c r="AB179" i="28"/>
  <c r="V192" i="28"/>
  <c r="S291" i="28"/>
  <c r="Y300" i="28"/>
  <c r="Y329" i="28"/>
  <c r="P350" i="28"/>
  <c r="G358" i="28"/>
  <c r="V358" i="28"/>
  <c r="M376" i="28"/>
  <c r="Y376" i="28"/>
  <c r="F389" i="28"/>
  <c r="R389" i="28"/>
  <c r="N65" i="28"/>
  <c r="N64" i="28" s="1"/>
  <c r="N9" i="28" s="1"/>
  <c r="S395" i="28"/>
  <c r="Z65" i="28"/>
  <c r="Z64" i="28" s="1"/>
  <c r="Z9" i="28" s="1"/>
  <c r="U52" i="28"/>
  <c r="V52" i="28" s="1"/>
  <c r="C116" i="28"/>
  <c r="D144" i="28"/>
  <c r="P203" i="28"/>
  <c r="G270" i="28"/>
  <c r="S283" i="28"/>
  <c r="AB305" i="28"/>
  <c r="M314" i="28"/>
  <c r="Y384" i="28"/>
  <c r="M397" i="28"/>
  <c r="O411" i="28"/>
  <c r="P411" i="28" s="1"/>
  <c r="G278" i="28"/>
  <c r="G300" i="28"/>
  <c r="M311" i="28"/>
  <c r="T65" i="28"/>
  <c r="T64" i="28" s="1"/>
  <c r="T9" i="28" s="1"/>
  <c r="P194" i="28"/>
  <c r="J194" i="28"/>
  <c r="M11" i="28"/>
  <c r="J188" i="28"/>
  <c r="J210" i="28"/>
  <c r="J265" i="28"/>
  <c r="G305" i="28"/>
  <c r="AB379" i="28"/>
  <c r="H349" i="28"/>
  <c r="H389" i="28"/>
  <c r="P393" i="28"/>
  <c r="J36" i="28"/>
  <c r="P186" i="28"/>
  <c r="Y188" i="28"/>
  <c r="O47" i="28"/>
  <c r="P47" i="28" s="1"/>
  <c r="J283" i="28"/>
  <c r="J305" i="28"/>
  <c r="J397" i="28"/>
  <c r="J412" i="28"/>
  <c r="E197" i="28"/>
  <c r="Y170" i="28"/>
  <c r="Y323" i="28"/>
  <c r="Y37" i="28"/>
  <c r="M48" i="28"/>
  <c r="P79" i="28"/>
  <c r="AA197" i="28"/>
  <c r="P278" i="28"/>
  <c r="S300" i="28"/>
  <c r="V420" i="28"/>
  <c r="G116" i="28"/>
  <c r="N209" i="28"/>
  <c r="D19" i="28"/>
  <c r="I20" i="28"/>
  <c r="J20" i="28" s="1"/>
  <c r="X36" i="28"/>
  <c r="Y36" i="28" s="1"/>
  <c r="R65" i="28"/>
  <c r="R64" i="28" s="1"/>
  <c r="M116" i="28"/>
  <c r="P188" i="28"/>
  <c r="V234" i="28"/>
  <c r="G265" i="28"/>
  <c r="Y276" i="28"/>
  <c r="J293" i="28"/>
  <c r="P311" i="28"/>
  <c r="P314" i="28"/>
  <c r="AB319" i="28"/>
  <c r="Y393" i="28"/>
  <c r="Y411" i="28"/>
  <c r="Y412" i="28"/>
  <c r="U419" i="28"/>
  <c r="V419" i="28" s="1"/>
  <c r="P291" i="28"/>
  <c r="V300" i="28"/>
  <c r="F411" i="28"/>
  <c r="F399" i="28" s="1"/>
  <c r="J230" i="28"/>
  <c r="AB186" i="28"/>
  <c r="I178" i="28"/>
  <c r="Y230" i="28"/>
  <c r="P329" i="28"/>
  <c r="S379" i="28"/>
  <c r="T197" i="28"/>
  <c r="S37" i="28"/>
  <c r="V198" i="28"/>
  <c r="V270" i="28"/>
  <c r="Y293" i="28"/>
  <c r="V323" i="28"/>
  <c r="G384" i="28"/>
  <c r="S384" i="28"/>
  <c r="Y401" i="28"/>
  <c r="F419" i="28"/>
  <c r="F418" i="28" s="1"/>
  <c r="G293" i="28"/>
  <c r="E349" i="28"/>
  <c r="K197" i="28"/>
  <c r="K264" i="28"/>
  <c r="B350" i="28"/>
  <c r="N197" i="28"/>
  <c r="Q310" i="28"/>
  <c r="Q349" i="28"/>
  <c r="W264" i="28"/>
  <c r="M194" i="28"/>
  <c r="P376" i="28"/>
  <c r="N349" i="28"/>
  <c r="Y11" i="28"/>
  <c r="AB37" i="28"/>
  <c r="AA36" i="28"/>
  <c r="AB36" i="28" s="1"/>
  <c r="Y48" i="28"/>
  <c r="U148" i="28"/>
  <c r="V148" i="28" s="1"/>
  <c r="V149" i="28"/>
  <c r="U178" i="28"/>
  <c r="V179" i="28"/>
  <c r="J358" i="28"/>
  <c r="U389" i="28"/>
  <c r="H209" i="28"/>
  <c r="F282" i="28"/>
  <c r="G283" i="28"/>
  <c r="V203" i="28"/>
  <c r="U197" i="28"/>
  <c r="V197" i="28" s="1"/>
  <c r="AB314" i="28"/>
  <c r="O310" i="28"/>
  <c r="Y53" i="28"/>
  <c r="X52" i="28"/>
  <c r="Y52" i="28" s="1"/>
  <c r="AB393" i="28"/>
  <c r="AA389" i="28"/>
  <c r="AA411" i="28"/>
  <c r="AA399" i="28" s="1"/>
  <c r="M186" i="28"/>
  <c r="G203" i="28"/>
  <c r="U209" i="28"/>
  <c r="J270" i="28"/>
  <c r="AB300" i="28"/>
  <c r="C308" i="28"/>
  <c r="C319" i="28"/>
  <c r="V393" i="28"/>
  <c r="E209" i="28"/>
  <c r="G251" i="28"/>
  <c r="G379" i="28"/>
  <c r="E399" i="28"/>
  <c r="H264" i="28"/>
  <c r="T209" i="28"/>
  <c r="V411" i="28"/>
  <c r="W349" i="28"/>
  <c r="S10" i="28"/>
  <c r="P37" i="28"/>
  <c r="Y79" i="28"/>
  <c r="M171" i="28"/>
  <c r="Y171" i="28"/>
  <c r="G188" i="28"/>
  <c r="S188" i="28"/>
  <c r="F197" i="28"/>
  <c r="R197" i="28"/>
  <c r="V210" i="28"/>
  <c r="U264" i="28"/>
  <c r="V278" i="28"/>
  <c r="Y308" i="28"/>
  <c r="V311" i="28"/>
  <c r="V314" i="28"/>
  <c r="P347" i="28"/>
  <c r="V379" i="28"/>
  <c r="M401" i="28"/>
  <c r="E178" i="28"/>
  <c r="H310" i="28"/>
  <c r="K65" i="28"/>
  <c r="K64" i="28" s="1"/>
  <c r="S319" i="28"/>
  <c r="T264" i="28"/>
  <c r="Z209" i="28"/>
  <c r="Y194" i="28"/>
  <c r="I209" i="28"/>
  <c r="U282" i="28"/>
  <c r="S21" i="28"/>
  <c r="O36" i="28"/>
  <c r="P36" i="28" s="1"/>
  <c r="AB79" i="28"/>
  <c r="AB170" i="28"/>
  <c r="J198" i="28"/>
  <c r="L197" i="28"/>
  <c r="AB203" i="28"/>
  <c r="P270" i="28"/>
  <c r="R282" i="28"/>
  <c r="AA282" i="28"/>
  <c r="Y291" i="28"/>
  <c r="Y319" i="28"/>
  <c r="S347" i="28"/>
  <c r="G395" i="28"/>
  <c r="X400" i="28"/>
  <c r="Y400" i="28" s="1"/>
  <c r="J420" i="28"/>
  <c r="G308" i="28"/>
  <c r="H178" i="28"/>
  <c r="N310" i="28"/>
  <c r="Q178" i="28"/>
  <c r="Q399" i="28"/>
  <c r="T349" i="28"/>
  <c r="W399" i="28"/>
  <c r="Z178" i="28"/>
  <c r="Z197" i="28"/>
  <c r="Z310" i="28"/>
  <c r="Z349" i="28"/>
  <c r="D195" i="28"/>
  <c r="AB194" i="28"/>
  <c r="V194" i="28"/>
  <c r="O178" i="28"/>
  <c r="T178" i="28"/>
  <c r="W178" i="28"/>
  <c r="J171" i="28"/>
  <c r="F178" i="28"/>
  <c r="G178" i="28" s="1"/>
  <c r="R178" i="28"/>
  <c r="S178" i="28" s="1"/>
  <c r="X178" i="28"/>
  <c r="S186" i="28"/>
  <c r="C192" i="28"/>
  <c r="I264" i="28"/>
  <c r="AA264" i="28"/>
  <c r="I282" i="28"/>
  <c r="AB283" i="28"/>
  <c r="V308" i="28"/>
  <c r="G319" i="28"/>
  <c r="V395" i="28"/>
  <c r="G186" i="28"/>
  <c r="E282" i="28"/>
  <c r="E310" i="28"/>
  <c r="P276" i="28"/>
  <c r="Q282" i="28"/>
  <c r="Q389" i="28"/>
  <c r="V116" i="28"/>
  <c r="T282" i="28"/>
  <c r="W9" i="28"/>
  <c r="B192" i="28"/>
  <c r="W282" i="28"/>
  <c r="Y397" i="28"/>
  <c r="AB293" i="28"/>
  <c r="Z389" i="28"/>
  <c r="Z399" i="28"/>
  <c r="G179" i="28"/>
  <c r="AA178" i="28"/>
  <c r="D222" i="28"/>
  <c r="AB265" i="28"/>
  <c r="D301" i="28"/>
  <c r="G347" i="28"/>
  <c r="I389" i="28"/>
  <c r="G291" i="28"/>
  <c r="E389" i="28"/>
  <c r="J116" i="28"/>
  <c r="K282" i="28"/>
  <c r="K389" i="28"/>
  <c r="K399" i="28"/>
  <c r="P148" i="28"/>
  <c r="S192" i="28"/>
  <c r="S230" i="28"/>
  <c r="S420" i="28"/>
  <c r="T389" i="28"/>
  <c r="Y148" i="28"/>
  <c r="W389" i="28"/>
  <c r="AB188" i="28"/>
  <c r="U36" i="28"/>
  <c r="V36" i="28" s="1"/>
  <c r="L170" i="28"/>
  <c r="M170" i="28" s="1"/>
  <c r="S397" i="28"/>
  <c r="AB397" i="28"/>
  <c r="L400" i="28"/>
  <c r="M400" i="28" s="1"/>
  <c r="I411" i="28"/>
  <c r="J411" i="28" s="1"/>
  <c r="G276" i="28"/>
  <c r="H282" i="28"/>
  <c r="M20" i="28"/>
  <c r="M149" i="28"/>
  <c r="M192" i="28"/>
  <c r="N178" i="28"/>
  <c r="N264" i="28"/>
  <c r="N282" i="28"/>
  <c r="N389" i="28"/>
  <c r="V405" i="28"/>
  <c r="W310" i="28"/>
  <c r="Z282" i="28"/>
  <c r="AB395" i="28"/>
  <c r="D140" i="28"/>
  <c r="D297" i="28"/>
  <c r="J308" i="28"/>
  <c r="M347" i="28"/>
  <c r="S415" i="28"/>
  <c r="AB415" i="28"/>
  <c r="W209" i="28"/>
  <c r="C346" i="28"/>
  <c r="I329" i="28"/>
  <c r="I310" i="28" s="1"/>
  <c r="J114" i="28"/>
  <c r="D114" i="28" s="1"/>
  <c r="I79" i="28"/>
  <c r="I65" i="28" s="1"/>
  <c r="G41" i="28"/>
  <c r="D41" i="28" s="1"/>
  <c r="AB10" i="28"/>
  <c r="D128" i="28"/>
  <c r="D132" i="28"/>
  <c r="AB376" i="28"/>
  <c r="B395" i="28"/>
  <c r="D248" i="28"/>
  <c r="AB390" i="28"/>
  <c r="AB198" i="28"/>
  <c r="AB230" i="28"/>
  <c r="D299" i="28"/>
  <c r="AB323" i="28"/>
  <c r="AB406" i="28"/>
  <c r="Y47" i="28"/>
  <c r="D117" i="28"/>
  <c r="D121" i="28"/>
  <c r="D129" i="28"/>
  <c r="Y149" i="28"/>
  <c r="D239" i="28"/>
  <c r="D241" i="28"/>
  <c r="D244" i="28"/>
  <c r="D249" i="28"/>
  <c r="D312" i="28"/>
  <c r="Y347" i="28"/>
  <c r="Y390" i="28"/>
  <c r="Y405" i="28"/>
  <c r="D414" i="28"/>
  <c r="Y416" i="28"/>
  <c r="Y415" i="28"/>
  <c r="D71" i="28"/>
  <c r="D81" i="28"/>
  <c r="D87" i="28"/>
  <c r="D111" i="28"/>
  <c r="Y192" i="28"/>
  <c r="D200" i="28"/>
  <c r="D277" i="28"/>
  <c r="Y305" i="28"/>
  <c r="Y314" i="28"/>
  <c r="B397" i="28"/>
  <c r="D154" i="28"/>
  <c r="Y270" i="28"/>
  <c r="Y406" i="28"/>
  <c r="T310" i="28"/>
  <c r="T399" i="28"/>
  <c r="V170" i="28"/>
  <c r="D14" i="28"/>
  <c r="D46" i="28"/>
  <c r="V171" i="28"/>
  <c r="V186" i="28"/>
  <c r="D237" i="28"/>
  <c r="V319" i="28"/>
  <c r="V347" i="28"/>
  <c r="B31" i="28"/>
  <c r="V31" i="28"/>
  <c r="D31" i="28" s="1"/>
  <c r="D133" i="28"/>
  <c r="D89" i="28"/>
  <c r="D156" i="28"/>
  <c r="D158" i="28"/>
  <c r="D161" i="28"/>
  <c r="D163" i="28"/>
  <c r="D165" i="28"/>
  <c r="D226" i="28"/>
  <c r="D232" i="28"/>
  <c r="D279" i="28"/>
  <c r="D361" i="28"/>
  <c r="D398" i="28"/>
  <c r="V406" i="28"/>
  <c r="S265" i="28"/>
  <c r="Q264" i="28"/>
  <c r="Q197" i="28"/>
  <c r="S198" i="28"/>
  <c r="Q209" i="28"/>
  <c r="D23" i="28"/>
  <c r="D27" i="28"/>
  <c r="S36" i="28"/>
  <c r="B50" i="28"/>
  <c r="D55" i="28"/>
  <c r="D124" i="28"/>
  <c r="D180" i="28"/>
  <c r="D196" i="28"/>
  <c r="B269" i="28"/>
  <c r="S269" i="28"/>
  <c r="D269" i="28" s="1"/>
  <c r="S311" i="28"/>
  <c r="S329" i="28"/>
  <c r="B377" i="28"/>
  <c r="S412" i="28"/>
  <c r="B420" i="28"/>
  <c r="S411" i="28"/>
  <c r="S202" i="28"/>
  <c r="D202" i="28" s="1"/>
  <c r="D211" i="28"/>
  <c r="S308" i="28"/>
  <c r="S376" i="28"/>
  <c r="S406" i="28"/>
  <c r="S416" i="28"/>
  <c r="D78" i="28"/>
  <c r="D191" i="28"/>
  <c r="B202" i="28"/>
  <c r="B213" i="28"/>
  <c r="S390" i="28"/>
  <c r="N399" i="28"/>
  <c r="D28" i="28"/>
  <c r="D51" i="28"/>
  <c r="D58" i="28"/>
  <c r="D59" i="28"/>
  <c r="D61" i="28"/>
  <c r="D104" i="28"/>
  <c r="D169" i="28"/>
  <c r="B290" i="28"/>
  <c r="P300" i="28"/>
  <c r="D316" i="28"/>
  <c r="P319" i="28"/>
  <c r="D320" i="28"/>
  <c r="D354" i="28"/>
  <c r="D360" i="28"/>
  <c r="D375" i="28"/>
  <c r="D392" i="28"/>
  <c r="P401" i="28"/>
  <c r="P405" i="28"/>
  <c r="P406" i="28"/>
  <c r="D408" i="28"/>
  <c r="P416" i="28"/>
  <c r="D39" i="28"/>
  <c r="D50" i="28"/>
  <c r="D255" i="28"/>
  <c r="P303" i="28"/>
  <c r="D303" i="28" s="1"/>
  <c r="P308" i="28"/>
  <c r="D370" i="28"/>
  <c r="D387" i="28"/>
  <c r="P390" i="28"/>
  <c r="P11" i="28"/>
  <c r="D43" i="28"/>
  <c r="D142" i="28"/>
  <c r="P149" i="28"/>
  <c r="D182" i="28"/>
  <c r="D189" i="28"/>
  <c r="D214" i="28"/>
  <c r="D252" i="28"/>
  <c r="D254" i="28"/>
  <c r="D256" i="28"/>
  <c r="D260" i="28"/>
  <c r="D295" i="28"/>
  <c r="D309" i="28"/>
  <c r="D331" i="28"/>
  <c r="D339" i="28"/>
  <c r="D341" i="28"/>
  <c r="D345" i="28"/>
  <c r="D352" i="28"/>
  <c r="D402" i="28"/>
  <c r="D403" i="28"/>
  <c r="D404" i="28"/>
  <c r="D409" i="28"/>
  <c r="P415" i="28"/>
  <c r="B194" i="28"/>
  <c r="K36" i="28"/>
  <c r="M37" i="28"/>
  <c r="K310" i="28"/>
  <c r="B179" i="28"/>
  <c r="K178" i="28"/>
  <c r="B357" i="28"/>
  <c r="B365" i="28"/>
  <c r="K358" i="28"/>
  <c r="K349" i="28" s="1"/>
  <c r="D40" i="28"/>
  <c r="D97" i="28"/>
  <c r="D15" i="28"/>
  <c r="D17" i="28"/>
  <c r="D22" i="28"/>
  <c r="D38" i="28"/>
  <c r="B40" i="28"/>
  <c r="B41" i="28"/>
  <c r="D45" i="28"/>
  <c r="M52" i="28"/>
  <c r="D60" i="28"/>
  <c r="D76" i="28"/>
  <c r="D85" i="28"/>
  <c r="B98" i="28"/>
  <c r="M105" i="28"/>
  <c r="D105" i="28" s="1"/>
  <c r="D106" i="28"/>
  <c r="D118" i="28"/>
  <c r="D120" i="28"/>
  <c r="D122" i="28"/>
  <c r="D127" i="28"/>
  <c r="D141" i="28"/>
  <c r="D155" i="28"/>
  <c r="D159" i="28"/>
  <c r="D164" i="28"/>
  <c r="D167" i="28"/>
  <c r="D181" i="28"/>
  <c r="D183" i="28"/>
  <c r="B185" i="28"/>
  <c r="D223" i="28"/>
  <c r="D225" i="28"/>
  <c r="M231" i="28"/>
  <c r="D272" i="28"/>
  <c r="D330" i="28"/>
  <c r="D346" i="28"/>
  <c r="D371" i="28"/>
  <c r="M379" i="28"/>
  <c r="D388" i="28"/>
  <c r="D394" i="28"/>
  <c r="M230" i="28"/>
  <c r="D153" i="28"/>
  <c r="D13" i="28"/>
  <c r="D29" i="28"/>
  <c r="D49" i="28"/>
  <c r="M53" i="28"/>
  <c r="D66" i="28"/>
  <c r="D70" i="28"/>
  <c r="D77" i="28"/>
  <c r="D86" i="28"/>
  <c r="D96" i="28"/>
  <c r="D103" i="28"/>
  <c r="D126" i="28"/>
  <c r="D130" i="28"/>
  <c r="D143" i="28"/>
  <c r="M148" i="28"/>
  <c r="D152" i="28"/>
  <c r="D166" i="28"/>
  <c r="D199" i="28"/>
  <c r="B204" i="28"/>
  <c r="D205" i="28"/>
  <c r="D220" i="28"/>
  <c r="B231" i="28"/>
  <c r="D236" i="28"/>
  <c r="D286" i="28"/>
  <c r="D288" i="28"/>
  <c r="D313" i="28"/>
  <c r="M319" i="28"/>
  <c r="D327" i="28"/>
  <c r="M332" i="28"/>
  <c r="D332" i="28" s="1"/>
  <c r="D333" i="28"/>
  <c r="D351" i="28"/>
  <c r="D372" i="28"/>
  <c r="B381" i="28"/>
  <c r="M393" i="28"/>
  <c r="D396" i="28"/>
  <c r="B417" i="28"/>
  <c r="J149" i="28"/>
  <c r="H148" i="28"/>
  <c r="H399" i="28"/>
  <c r="H52" i="28"/>
  <c r="B52" i="28" s="1"/>
  <c r="B53" i="28"/>
  <c r="D24" i="28"/>
  <c r="D67" i="28"/>
  <c r="D73" i="28"/>
  <c r="D75" i="28"/>
  <c r="D84" i="28"/>
  <c r="D93" i="28"/>
  <c r="D100" i="28"/>
  <c r="D113" i="28"/>
  <c r="D137" i="28"/>
  <c r="D146" i="28"/>
  <c r="D151" i="28"/>
  <c r="D168" i="28"/>
  <c r="D175" i="28"/>
  <c r="D187" i="28"/>
  <c r="D193" i="28"/>
  <c r="D208" i="28"/>
  <c r="D304" i="28"/>
  <c r="D317" i="28"/>
  <c r="J347" i="28"/>
  <c r="B329" i="28"/>
  <c r="D18" i="28"/>
  <c r="D57" i="28"/>
  <c r="D62" i="28"/>
  <c r="J80" i="28"/>
  <c r="D80" i="28" s="1"/>
  <c r="B116" i="28"/>
  <c r="J170" i="28"/>
  <c r="D266" i="28"/>
  <c r="D273" i="28"/>
  <c r="D294" i="28"/>
  <c r="J319" i="28"/>
  <c r="D338" i="28"/>
  <c r="D356" i="28"/>
  <c r="D367" i="28"/>
  <c r="D383" i="28"/>
  <c r="D25" i="28"/>
  <c r="D34" i="28"/>
  <c r="D42" i="28"/>
  <c r="D44" i="28"/>
  <c r="D56" i="28"/>
  <c r="D68" i="28"/>
  <c r="D74" i="28"/>
  <c r="D94" i="28"/>
  <c r="D99" i="28"/>
  <c r="D101" i="28"/>
  <c r="D112" i="28"/>
  <c r="D125" i="28"/>
  <c r="D134" i="28"/>
  <c r="D136" i="28"/>
  <c r="D138" i="28"/>
  <c r="D145" i="28"/>
  <c r="D150" i="28"/>
  <c r="D174" i="28"/>
  <c r="D176" i="28"/>
  <c r="J179" i="28"/>
  <c r="D218" i="28"/>
  <c r="D221" i="28"/>
  <c r="D227" i="28"/>
  <c r="D259" i="28"/>
  <c r="D284" i="28"/>
  <c r="D285" i="28"/>
  <c r="D289" i="28"/>
  <c r="D298" i="28"/>
  <c r="D318" i="28"/>
  <c r="D328" i="28"/>
  <c r="D342" i="28"/>
  <c r="D344" i="28"/>
  <c r="D391" i="28"/>
  <c r="D410" i="28"/>
  <c r="D421" i="28"/>
  <c r="B149" i="28"/>
  <c r="D173" i="28"/>
  <c r="D337" i="28"/>
  <c r="G406" i="28"/>
  <c r="E264" i="28"/>
  <c r="D69" i="28"/>
  <c r="D110" i="28"/>
  <c r="D157" i="28"/>
  <c r="D324" i="28"/>
  <c r="D92" i="28"/>
  <c r="D135" i="28"/>
  <c r="D162" i="28"/>
  <c r="B171" i="28"/>
  <c r="G323" i="28"/>
  <c r="G376" i="28"/>
  <c r="D377" i="28"/>
  <c r="B379" i="28"/>
  <c r="D131" i="28"/>
  <c r="D147" i="28"/>
  <c r="D172" i="28"/>
  <c r="D119" i="28"/>
  <c r="D90" i="28"/>
  <c r="D123" i="28"/>
  <c r="D139" i="28"/>
  <c r="B319" i="28"/>
  <c r="D348" i="28"/>
  <c r="G390" i="28"/>
  <c r="V20" i="28"/>
  <c r="C35" i="28"/>
  <c r="AB35" i="28"/>
  <c r="D35" i="28" s="1"/>
  <c r="I10" i="28"/>
  <c r="J11" i="28"/>
  <c r="S11" i="28"/>
  <c r="D16" i="28"/>
  <c r="F21" i="28"/>
  <c r="P21" i="28"/>
  <c r="O20" i="28"/>
  <c r="P20" i="28" s="1"/>
  <c r="AB21" i="28"/>
  <c r="D30" i="28"/>
  <c r="G32" i="28"/>
  <c r="D32" i="28" s="1"/>
  <c r="B33" i="28"/>
  <c r="V33" i="28"/>
  <c r="D33" i="28" s="1"/>
  <c r="G37" i="28"/>
  <c r="B37" i="28"/>
  <c r="Y10" i="28"/>
  <c r="B11" i="28"/>
  <c r="G36" i="28"/>
  <c r="P10" i="28"/>
  <c r="Y21" i="28"/>
  <c r="X20" i="28"/>
  <c r="Y20" i="28" s="1"/>
  <c r="G11" i="28"/>
  <c r="M10" i="28"/>
  <c r="V11" i="28"/>
  <c r="U10" i="28"/>
  <c r="AB11" i="28"/>
  <c r="D12" i="28"/>
  <c r="M21" i="28"/>
  <c r="S20" i="28"/>
  <c r="B22" i="28"/>
  <c r="D26" i="28"/>
  <c r="AB20" i="28"/>
  <c r="C11" i="28"/>
  <c r="C22" i="28"/>
  <c r="J37" i="28"/>
  <c r="S48" i="28"/>
  <c r="F52" i="28"/>
  <c r="G53" i="28"/>
  <c r="R52" i="28"/>
  <c r="S52" i="28" s="1"/>
  <c r="S53" i="28"/>
  <c r="C63" i="28"/>
  <c r="P63" i="28"/>
  <c r="D63" i="28" s="1"/>
  <c r="G79" i="28"/>
  <c r="M82" i="28"/>
  <c r="D82" i="28" s="1"/>
  <c r="D83" i="28"/>
  <c r="D107" i="28"/>
  <c r="M108" i="28"/>
  <c r="D108" i="28" s="1"/>
  <c r="D109" i="28"/>
  <c r="G148" i="28"/>
  <c r="AB148" i="28"/>
  <c r="B170" i="28"/>
  <c r="P283" i="28"/>
  <c r="C48" i="28"/>
  <c r="I47" i="28"/>
  <c r="J48" i="28"/>
  <c r="C54" i="28"/>
  <c r="P54" i="28"/>
  <c r="D54" i="28" s="1"/>
  <c r="O53" i="28"/>
  <c r="U65" i="28"/>
  <c r="V79" i="28"/>
  <c r="D115" i="28"/>
  <c r="G170" i="28"/>
  <c r="G48" i="28"/>
  <c r="B48" i="28"/>
  <c r="AB48" i="28"/>
  <c r="C91" i="28"/>
  <c r="L79" i="28"/>
  <c r="M91" i="28"/>
  <c r="D91" i="28" s="1"/>
  <c r="Y116" i="28"/>
  <c r="X65" i="28"/>
  <c r="S148" i="28"/>
  <c r="M47" i="28"/>
  <c r="U47" i="28"/>
  <c r="V47" i="28" s="1"/>
  <c r="V48" i="28"/>
  <c r="AA52" i="28"/>
  <c r="AB52" i="28" s="1"/>
  <c r="AB53" i="28"/>
  <c r="G72" i="28"/>
  <c r="D72" i="28" s="1"/>
  <c r="C72" i="28"/>
  <c r="S79" i="28"/>
  <c r="C80" i="28"/>
  <c r="B82" i="28"/>
  <c r="D88" i="28"/>
  <c r="B95" i="28"/>
  <c r="J95" i="28"/>
  <c r="D95" i="28" s="1"/>
  <c r="P116" i="28"/>
  <c r="O65" i="28"/>
  <c r="S170" i="28"/>
  <c r="X197" i="28"/>
  <c r="Y197" i="28" s="1"/>
  <c r="Y198" i="28"/>
  <c r="G210" i="28"/>
  <c r="S213" i="28"/>
  <c r="D213" i="28" s="1"/>
  <c r="C213" i="28"/>
  <c r="X209" i="28"/>
  <c r="Y234" i="28"/>
  <c r="S263" i="28"/>
  <c r="D263" i="28" s="1"/>
  <c r="C263" i="28"/>
  <c r="O264" i="28"/>
  <c r="P264" i="28" s="1"/>
  <c r="P265" i="28"/>
  <c r="C276" i="28"/>
  <c r="L264" i="28"/>
  <c r="M276" i="28"/>
  <c r="B283" i="28"/>
  <c r="J291" i="28"/>
  <c r="B291" i="28"/>
  <c r="B300" i="28"/>
  <c r="M300" i="28"/>
  <c r="C306" i="28"/>
  <c r="P306" i="28"/>
  <c r="D306" i="28" s="1"/>
  <c r="J323" i="28"/>
  <c r="B323" i="28"/>
  <c r="X349" i="28"/>
  <c r="Y358" i="28"/>
  <c r="V376" i="28"/>
  <c r="U349" i="28"/>
  <c r="O419" i="28"/>
  <c r="P420" i="28"/>
  <c r="C420" i="28"/>
  <c r="G149" i="28"/>
  <c r="S149" i="28"/>
  <c r="AB149" i="28"/>
  <c r="C152" i="28"/>
  <c r="C171" i="28"/>
  <c r="G171" i="28"/>
  <c r="S171" i="28"/>
  <c r="AB171" i="28"/>
  <c r="L179" i="28"/>
  <c r="P179" i="28"/>
  <c r="Y179" i="28"/>
  <c r="M185" i="28"/>
  <c r="D185" i="28" s="1"/>
  <c r="B186" i="28"/>
  <c r="J186" i="28"/>
  <c r="B188" i="28"/>
  <c r="J192" i="28"/>
  <c r="P192" i="28"/>
  <c r="G194" i="28"/>
  <c r="C194" i="28"/>
  <c r="O197" i="28"/>
  <c r="P198" i="28"/>
  <c r="P210" i="28"/>
  <c r="S229" i="28"/>
  <c r="D229" i="28" s="1"/>
  <c r="B229" i="28"/>
  <c r="S235" i="28"/>
  <c r="D235" i="28" s="1"/>
  <c r="B234" i="28"/>
  <c r="B235" i="28"/>
  <c r="R234" i="28"/>
  <c r="S238" i="28"/>
  <c r="D238" i="28" s="1"/>
  <c r="C238" i="28"/>
  <c r="D258" i="28"/>
  <c r="B265" i="28"/>
  <c r="M265" i="28"/>
  <c r="D268" i="28"/>
  <c r="M270" i="28"/>
  <c r="D275" i="28"/>
  <c r="J276" i="28"/>
  <c r="B276" i="28"/>
  <c r="X282" i="28"/>
  <c r="Y283" i="28"/>
  <c r="C300" i="28"/>
  <c r="O305" i="28"/>
  <c r="AB311" i="28"/>
  <c r="F349" i="28"/>
  <c r="G350" i="28"/>
  <c r="R349" i="28"/>
  <c r="S350" i="28"/>
  <c r="C355" i="28"/>
  <c r="L350" i="28"/>
  <c r="M350" i="28" s="1"/>
  <c r="M355" i="28"/>
  <c r="D355" i="28" s="1"/>
  <c r="C357" i="28"/>
  <c r="M357" i="28"/>
  <c r="D357" i="28" s="1"/>
  <c r="L188" i="28"/>
  <c r="D190" i="28"/>
  <c r="B198" i="28"/>
  <c r="G198" i="28"/>
  <c r="M198" i="28"/>
  <c r="C203" i="28"/>
  <c r="D207" i="28"/>
  <c r="AA209" i="28"/>
  <c r="AB210" i="28"/>
  <c r="D224" i="28"/>
  <c r="D228" i="28"/>
  <c r="B230" i="28"/>
  <c r="D233" i="28"/>
  <c r="D242" i="28"/>
  <c r="B251" i="28"/>
  <c r="D253" i="28"/>
  <c r="C265" i="28"/>
  <c r="C270" i="28"/>
  <c r="D287" i="28"/>
  <c r="V291" i="28"/>
  <c r="B293" i="28"/>
  <c r="M293" i="28"/>
  <c r="D296" i="28"/>
  <c r="D302" i="28"/>
  <c r="B305" i="28"/>
  <c r="P307" i="28"/>
  <c r="D307" i="28" s="1"/>
  <c r="B307" i="28"/>
  <c r="R310" i="28"/>
  <c r="U329" i="28"/>
  <c r="V336" i="28"/>
  <c r="D336" i="28" s="1"/>
  <c r="C336" i="28"/>
  <c r="P380" i="28"/>
  <c r="D380" i="28" s="1"/>
  <c r="C380" i="28"/>
  <c r="O379" i="28"/>
  <c r="O349" i="28" s="1"/>
  <c r="J384" i="28"/>
  <c r="B384" i="28"/>
  <c r="I415" i="28"/>
  <c r="J416" i="28"/>
  <c r="C186" i="28"/>
  <c r="C191" i="28"/>
  <c r="C198" i="28"/>
  <c r="D201" i="28"/>
  <c r="J203" i="28"/>
  <c r="B203" i="28"/>
  <c r="D206" i="28"/>
  <c r="R210" i="28"/>
  <c r="C210" i="28" s="1"/>
  <c r="B212" i="28"/>
  <c r="M212" i="28"/>
  <c r="D212" i="28" s="1"/>
  <c r="D217" i="28"/>
  <c r="F230" i="28"/>
  <c r="G231" i="28"/>
  <c r="C231" i="28"/>
  <c r="O209" i="28"/>
  <c r="P234" i="28"/>
  <c r="D250" i="28"/>
  <c r="D257" i="28"/>
  <c r="X264" i="28"/>
  <c r="Y265" i="28"/>
  <c r="D267" i="28"/>
  <c r="S271" i="28"/>
  <c r="D271" i="28" s="1"/>
  <c r="B271" i="28"/>
  <c r="D274" i="28"/>
  <c r="V276" i="28"/>
  <c r="B278" i="28"/>
  <c r="M278" i="28"/>
  <c r="R278" i="28"/>
  <c r="R264" i="28" s="1"/>
  <c r="S281" i="28"/>
  <c r="D281" i="28" s="1"/>
  <c r="C281" i="28"/>
  <c r="C290" i="28"/>
  <c r="P290" i="28"/>
  <c r="D290" i="28" s="1"/>
  <c r="C291" i="28"/>
  <c r="M291" i="28"/>
  <c r="D292" i="28"/>
  <c r="C293" i="28"/>
  <c r="M305" i="28"/>
  <c r="B308" i="28"/>
  <c r="M308" i="28"/>
  <c r="L234" i="28"/>
  <c r="L283" i="28"/>
  <c r="X310" i="28"/>
  <c r="C311" i="28"/>
  <c r="S314" i="28"/>
  <c r="D315" i="28"/>
  <c r="D322" i="28"/>
  <c r="D326" i="28"/>
  <c r="D343" i="28"/>
  <c r="AB347" i="28"/>
  <c r="D374" i="28"/>
  <c r="P395" i="28"/>
  <c r="O389" i="28"/>
  <c r="C395" i="28"/>
  <c r="P397" i="28"/>
  <c r="AB401" i="28"/>
  <c r="G311" i="28"/>
  <c r="B311" i="28"/>
  <c r="C314" i="28"/>
  <c r="J314" i="28"/>
  <c r="D334" i="28"/>
  <c r="L329" i="28"/>
  <c r="M335" i="28"/>
  <c r="D335" i="28" s="1"/>
  <c r="D340" i="28"/>
  <c r="B347" i="28"/>
  <c r="AA349" i="28"/>
  <c r="AB350" i="28"/>
  <c r="D353" i="28"/>
  <c r="P358" i="28"/>
  <c r="D363" i="28"/>
  <c r="D364" i="28"/>
  <c r="D365" i="28"/>
  <c r="D373" i="28"/>
  <c r="J376" i="28"/>
  <c r="I349" i="28"/>
  <c r="J349" i="28" s="1"/>
  <c r="G314" i="28"/>
  <c r="B314" i="28"/>
  <c r="D321" i="28"/>
  <c r="C323" i="28"/>
  <c r="M323" i="28"/>
  <c r="D325" i="28"/>
  <c r="D368" i="28"/>
  <c r="M369" i="28"/>
  <c r="D369" i="28" s="1"/>
  <c r="L358" i="28"/>
  <c r="C358" i="28" s="1"/>
  <c r="B376" i="28"/>
  <c r="D378" i="28"/>
  <c r="V390" i="28"/>
  <c r="J405" i="28"/>
  <c r="B405" i="28"/>
  <c r="C332" i="28"/>
  <c r="C343" i="28"/>
  <c r="D386" i="28"/>
  <c r="C390" i="28"/>
  <c r="L389" i="28"/>
  <c r="M390" i="28"/>
  <c r="M395" i="28"/>
  <c r="C401" i="28"/>
  <c r="I400" i="28"/>
  <c r="J401" i="28"/>
  <c r="B406" i="28"/>
  <c r="J406" i="28"/>
  <c r="B411" i="28"/>
  <c r="V412" i="28"/>
  <c r="B416" i="28"/>
  <c r="U415" i="28"/>
  <c r="V415" i="28" s="1"/>
  <c r="V416" i="28"/>
  <c r="AB416" i="28"/>
  <c r="I418" i="28"/>
  <c r="J419" i="28"/>
  <c r="S419" i="28"/>
  <c r="S418" i="28"/>
  <c r="AB419" i="28"/>
  <c r="AB418" i="28"/>
  <c r="M420" i="28"/>
  <c r="C347" i="28"/>
  <c r="C376" i="28"/>
  <c r="M381" i="28"/>
  <c r="D381" i="28" s="1"/>
  <c r="D382" i="28"/>
  <c r="J390" i="28"/>
  <c r="B390" i="28"/>
  <c r="J393" i="28"/>
  <c r="B393" i="28"/>
  <c r="Y395" i="28"/>
  <c r="X389" i="28"/>
  <c r="G397" i="28"/>
  <c r="C397" i="28"/>
  <c r="G401" i="28"/>
  <c r="B401" i="28"/>
  <c r="U400" i="28"/>
  <c r="V401" i="28"/>
  <c r="S405" i="28"/>
  <c r="R399" i="28"/>
  <c r="D407" i="28"/>
  <c r="C412" i="28"/>
  <c r="L411" i="28"/>
  <c r="M411" i="28" s="1"/>
  <c r="M412" i="28"/>
  <c r="G416" i="28"/>
  <c r="L416" i="28"/>
  <c r="M417" i="28"/>
  <c r="D417" i="28" s="1"/>
  <c r="B419" i="28"/>
  <c r="X419" i="28"/>
  <c r="Y420" i="28"/>
  <c r="C339" i="28"/>
  <c r="C384" i="28"/>
  <c r="M384" i="28"/>
  <c r="D385" i="28"/>
  <c r="P400" i="28"/>
  <c r="S401" i="28"/>
  <c r="G405" i="28"/>
  <c r="AB405" i="28"/>
  <c r="C406" i="28"/>
  <c r="L405" i="28"/>
  <c r="M406" i="28"/>
  <c r="C393" i="28"/>
  <c r="F29" i="27"/>
  <c r="E29" i="27"/>
  <c r="D75" i="27"/>
  <c r="D72" i="27"/>
  <c r="C72" i="27"/>
  <c r="D70" i="27"/>
  <c r="D68" i="27"/>
  <c r="D65" i="27"/>
  <c r="D64" i="27"/>
  <c r="D63" i="27"/>
  <c r="C63" i="27"/>
  <c r="C61" i="27" s="1"/>
  <c r="C58" i="27" s="1"/>
  <c r="D62" i="27"/>
  <c r="D60" i="27"/>
  <c r="D59" i="27"/>
  <c r="C59" i="27"/>
  <c r="D56" i="27"/>
  <c r="D55" i="27"/>
  <c r="D54" i="27"/>
  <c r="D53" i="27"/>
  <c r="D52" i="27" s="1"/>
  <c r="C52" i="27"/>
  <c r="D51" i="27"/>
  <c r="D50" i="27"/>
  <c r="D49" i="27"/>
  <c r="C48" i="27"/>
  <c r="C46" i="27"/>
  <c r="D44" i="27"/>
  <c r="C44" i="27"/>
  <c r="D42" i="27"/>
  <c r="C42" i="27"/>
  <c r="D40" i="27"/>
  <c r="C40" i="27"/>
  <c r="D36" i="27"/>
  <c r="C36" i="27"/>
  <c r="D32" i="27"/>
  <c r="C32" i="27"/>
  <c r="C30" i="27"/>
  <c r="D29" i="27"/>
  <c r="C29" i="27"/>
  <c r="D27" i="27"/>
  <c r="D26" i="27"/>
  <c r="D25" i="27"/>
  <c r="C25" i="27"/>
  <c r="D24" i="27"/>
  <c r="D22" i="27" s="1"/>
  <c r="C24" i="27"/>
  <c r="D20" i="27"/>
  <c r="D18" i="27"/>
  <c r="C18" i="27"/>
  <c r="D16" i="27"/>
  <c r="C16" i="27"/>
  <c r="D14" i="27"/>
  <c r="C14" i="27"/>
  <c r="F75" i="27"/>
  <c r="F72" i="27"/>
  <c r="E72" i="27"/>
  <c r="F70" i="27"/>
  <c r="F68" i="27"/>
  <c r="F65" i="27"/>
  <c r="F64" i="27"/>
  <c r="F63" i="27"/>
  <c r="E63" i="27"/>
  <c r="E61" i="27" s="1"/>
  <c r="F62" i="27"/>
  <c r="F60" i="27"/>
  <c r="F59" i="27" s="1"/>
  <c r="E59" i="27"/>
  <c r="F56" i="27"/>
  <c r="F55" i="27"/>
  <c r="F54" i="27"/>
  <c r="F53" i="27"/>
  <c r="E52" i="27"/>
  <c r="F51" i="27"/>
  <c r="F50" i="27"/>
  <c r="F49" i="27"/>
  <c r="E48" i="27"/>
  <c r="E46" i="27"/>
  <c r="F44" i="27"/>
  <c r="E44" i="27"/>
  <c r="F42" i="27"/>
  <c r="E42" i="27"/>
  <c r="F40" i="27"/>
  <c r="E40" i="27"/>
  <c r="F36" i="27"/>
  <c r="E36" i="27"/>
  <c r="F32" i="27"/>
  <c r="E32" i="27"/>
  <c r="E30" i="27"/>
  <c r="F27" i="27"/>
  <c r="F26" i="27"/>
  <c r="F25" i="27"/>
  <c r="E25" i="27"/>
  <c r="F24" i="27"/>
  <c r="E24" i="27"/>
  <c r="E22" i="27" s="1"/>
  <c r="F20" i="27"/>
  <c r="F18" i="27"/>
  <c r="E18" i="27"/>
  <c r="F16" i="27"/>
  <c r="E16" i="27"/>
  <c r="F14" i="27"/>
  <c r="E14" i="27"/>
  <c r="F22" i="27" l="1"/>
  <c r="F61" i="27"/>
  <c r="F58" i="27" s="1"/>
  <c r="F48" i="27"/>
  <c r="E58" i="27"/>
  <c r="C22" i="27"/>
  <c r="F52" i="27"/>
  <c r="F46" i="27" s="1"/>
  <c r="D48" i="27"/>
  <c r="D46" i="27" s="1"/>
  <c r="D61" i="27"/>
  <c r="AB329" i="28"/>
  <c r="C149" i="28"/>
  <c r="G329" i="28"/>
  <c r="V21" i="28"/>
  <c r="P171" i="28"/>
  <c r="C53" i="28"/>
  <c r="C37" i="28"/>
  <c r="J53" i="28"/>
  <c r="AB264" i="28"/>
  <c r="S64" i="28"/>
  <c r="B358" i="28"/>
  <c r="AB389" i="28"/>
  <c r="Y178" i="28"/>
  <c r="J197" i="28"/>
  <c r="K9" i="28"/>
  <c r="G65" i="28"/>
  <c r="G389" i="28"/>
  <c r="J52" i="28"/>
  <c r="AB197" i="28"/>
  <c r="S310" i="28"/>
  <c r="G264" i="28"/>
  <c r="AB65" i="28"/>
  <c r="J209" i="28"/>
  <c r="V389" i="28"/>
  <c r="M197" i="28"/>
  <c r="J178" i="28"/>
  <c r="D231" i="28"/>
  <c r="O399" i="28"/>
  <c r="P399" i="28" s="1"/>
  <c r="G411" i="28"/>
  <c r="V209" i="28"/>
  <c r="S389" i="28"/>
  <c r="P197" i="28"/>
  <c r="Y349" i="28"/>
  <c r="AB64" i="28"/>
  <c r="C170" i="28"/>
  <c r="P310" i="28"/>
  <c r="V282" i="28"/>
  <c r="AB310" i="28"/>
  <c r="V264" i="28"/>
  <c r="D186" i="28"/>
  <c r="J282" i="28"/>
  <c r="S349" i="28"/>
  <c r="S65" i="28"/>
  <c r="B197" i="28"/>
  <c r="T177" i="28"/>
  <c r="T8" i="28" s="1"/>
  <c r="D395" i="28"/>
  <c r="G419" i="28"/>
  <c r="G197" i="28"/>
  <c r="B36" i="28"/>
  <c r="U418" i="28"/>
  <c r="V418" i="28" s="1"/>
  <c r="P209" i="28"/>
  <c r="P349" i="28"/>
  <c r="Y282" i="28"/>
  <c r="M264" i="28"/>
  <c r="AB411" i="28"/>
  <c r="Y389" i="28"/>
  <c r="Y264" i="28"/>
  <c r="X399" i="28"/>
  <c r="Y399" i="28" s="1"/>
  <c r="AB349" i="28"/>
  <c r="Y209" i="28"/>
  <c r="P178" i="28"/>
  <c r="H177" i="28"/>
  <c r="G282" i="28"/>
  <c r="V178" i="28"/>
  <c r="AB178" i="28"/>
  <c r="H9" i="28"/>
  <c r="H8" i="28" s="1"/>
  <c r="S197" i="28"/>
  <c r="Y310" i="28"/>
  <c r="AB209" i="28"/>
  <c r="D300" i="28"/>
  <c r="C148" i="28"/>
  <c r="J148" i="28"/>
  <c r="D148" i="28" s="1"/>
  <c r="M36" i="28"/>
  <c r="D36" i="28" s="1"/>
  <c r="C79" i="28"/>
  <c r="W177" i="28"/>
  <c r="W8" i="28" s="1"/>
  <c r="D308" i="28"/>
  <c r="Z177" i="28"/>
  <c r="Z8" i="28" s="1"/>
  <c r="V349" i="28"/>
  <c r="C36" i="28"/>
  <c r="B282" i="28"/>
  <c r="D319" i="28"/>
  <c r="P389" i="28"/>
  <c r="AB282" i="28"/>
  <c r="E177" i="28"/>
  <c r="E8" i="28" s="1"/>
  <c r="M389" i="28"/>
  <c r="D293" i="28"/>
  <c r="D192" i="28"/>
  <c r="D420" i="28"/>
  <c r="B148" i="28"/>
  <c r="J79" i="28"/>
  <c r="S282" i="28"/>
  <c r="Q177" i="28"/>
  <c r="Q8" i="28" s="1"/>
  <c r="N177" i="28"/>
  <c r="N8" i="28" s="1"/>
  <c r="J329" i="28"/>
  <c r="D311" i="28"/>
  <c r="D116" i="28"/>
  <c r="D265" i="28"/>
  <c r="D390" i="28"/>
  <c r="D347" i="28"/>
  <c r="D412" i="28"/>
  <c r="D376" i="28"/>
  <c r="D397" i="28"/>
  <c r="K177" i="28"/>
  <c r="K8" i="28" s="1"/>
  <c r="D393" i="28"/>
  <c r="D350" i="28"/>
  <c r="D323" i="28"/>
  <c r="D314" i="28"/>
  <c r="D37" i="28"/>
  <c r="Y419" i="28"/>
  <c r="X418" i="28"/>
  <c r="Y418" i="28" s="1"/>
  <c r="S399" i="28"/>
  <c r="L415" i="28"/>
  <c r="M415" i="28" s="1"/>
  <c r="M416" i="28"/>
  <c r="D416" i="28" s="1"/>
  <c r="M419" i="28"/>
  <c r="M418" i="28"/>
  <c r="C419" i="28"/>
  <c r="AB399" i="28"/>
  <c r="G418" i="28"/>
  <c r="D401" i="28"/>
  <c r="J389" i="28"/>
  <c r="B389" i="28"/>
  <c r="D406" i="28"/>
  <c r="C389" i="28"/>
  <c r="L282" i="28"/>
  <c r="M283" i="28"/>
  <c r="D283" i="28" s="1"/>
  <c r="C283" i="28"/>
  <c r="S278" i="28"/>
  <c r="D278" i="28" s="1"/>
  <c r="C278" i="28"/>
  <c r="B264" i="28"/>
  <c r="S270" i="28"/>
  <c r="D270" i="28" s="1"/>
  <c r="M210" i="28"/>
  <c r="B210" i="28"/>
  <c r="C416" i="28"/>
  <c r="C350" i="28"/>
  <c r="D276" i="28"/>
  <c r="B270" i="28"/>
  <c r="J264" i="28"/>
  <c r="S234" i="28"/>
  <c r="D149" i="28"/>
  <c r="P419" i="28"/>
  <c r="O418" i="28"/>
  <c r="P418" i="28" s="1"/>
  <c r="J310" i="28"/>
  <c r="B310" i="28"/>
  <c r="O64" i="28"/>
  <c r="P64" i="28" s="1"/>
  <c r="P65" i="28"/>
  <c r="B64" i="28"/>
  <c r="B65" i="28"/>
  <c r="AA177" i="28"/>
  <c r="G52" i="28"/>
  <c r="V10" i="28"/>
  <c r="AA9" i="28"/>
  <c r="M358" i="28"/>
  <c r="D358" i="28" s="1"/>
  <c r="L349" i="28"/>
  <c r="M349" i="28" s="1"/>
  <c r="M329" i="28"/>
  <c r="L310" i="28"/>
  <c r="M310" i="28" s="1"/>
  <c r="AB400" i="28"/>
  <c r="M234" i="28"/>
  <c r="C234" i="28"/>
  <c r="L209" i="28"/>
  <c r="M209" i="28" s="1"/>
  <c r="G230" i="28"/>
  <c r="D230" i="28" s="1"/>
  <c r="C230" i="28"/>
  <c r="P379" i="28"/>
  <c r="D379" i="28" s="1"/>
  <c r="C379" i="28"/>
  <c r="G310" i="28"/>
  <c r="L178" i="28"/>
  <c r="M179" i="28"/>
  <c r="D179" i="28" s="1"/>
  <c r="C179" i="28"/>
  <c r="C264" i="28"/>
  <c r="X177" i="28"/>
  <c r="I177" i="28"/>
  <c r="S47" i="28"/>
  <c r="R9" i="28"/>
  <c r="V400" i="28"/>
  <c r="U399" i="28"/>
  <c r="V399" i="28" s="1"/>
  <c r="B415" i="28"/>
  <c r="G415" i="28"/>
  <c r="S264" i="28"/>
  <c r="D198" i="28"/>
  <c r="G349" i="28"/>
  <c r="P305" i="28"/>
  <c r="D305" i="28" s="1"/>
  <c r="C305" i="28"/>
  <c r="C329" i="28"/>
  <c r="D291" i="28"/>
  <c r="B47" i="28"/>
  <c r="G47" i="28"/>
  <c r="I64" i="28"/>
  <c r="J64" i="28" s="1"/>
  <c r="J65" i="28"/>
  <c r="O282" i="28"/>
  <c r="P282" i="28" s="1"/>
  <c r="G64" i="28"/>
  <c r="F20" i="28"/>
  <c r="C21" i="28"/>
  <c r="G21" i="28"/>
  <c r="D21" i="28" s="1"/>
  <c r="C10" i="28"/>
  <c r="J10" i="28"/>
  <c r="S400" i="28"/>
  <c r="M405" i="28"/>
  <c r="D405" i="28" s="1"/>
  <c r="L399" i="28"/>
  <c r="M399" i="28" s="1"/>
  <c r="J418" i="28"/>
  <c r="C411" i="28"/>
  <c r="C405" i="28"/>
  <c r="B400" i="28"/>
  <c r="G400" i="28"/>
  <c r="B399" i="28"/>
  <c r="J400" i="28"/>
  <c r="I399" i="28"/>
  <c r="J399" i="28" s="1"/>
  <c r="C400" i="28"/>
  <c r="B349" i="28"/>
  <c r="R209" i="28"/>
  <c r="S210" i="28"/>
  <c r="D203" i="28"/>
  <c r="J415" i="28"/>
  <c r="D384" i="28"/>
  <c r="U310" i="28"/>
  <c r="V329" i="28"/>
  <c r="M188" i="28"/>
  <c r="D188" i="28" s="1"/>
  <c r="C197" i="28"/>
  <c r="D194" i="28"/>
  <c r="C188" i="28"/>
  <c r="D171" i="28"/>
  <c r="C251" i="28"/>
  <c r="D251" i="28"/>
  <c r="F209" i="28"/>
  <c r="B79" i="28"/>
  <c r="X64" i="28"/>
  <c r="Y64" i="28" s="1"/>
  <c r="Y65" i="28"/>
  <c r="L65" i="28"/>
  <c r="M79" i="28"/>
  <c r="AB47" i="28"/>
  <c r="D48" i="28"/>
  <c r="D170" i="28"/>
  <c r="U64" i="28"/>
  <c r="V64" i="28" s="1"/>
  <c r="V65" i="28"/>
  <c r="O52" i="28"/>
  <c r="C52" i="28" s="1"/>
  <c r="P53" i="28"/>
  <c r="D53" i="28" s="1"/>
  <c r="J47" i="28"/>
  <c r="C47" i="28"/>
  <c r="B21" i="28"/>
  <c r="B20" i="28"/>
  <c r="D11" i="28"/>
  <c r="B10" i="28"/>
  <c r="G10" i="28"/>
  <c r="D58" i="27"/>
  <c r="D411" i="28" l="1"/>
  <c r="Y177" i="28"/>
  <c r="D197" i="28"/>
  <c r="O177" i="28"/>
  <c r="P177" i="28" s="1"/>
  <c r="D264" i="28"/>
  <c r="C418" i="28"/>
  <c r="J177" i="28"/>
  <c r="C415" i="28"/>
  <c r="D234" i="28"/>
  <c r="AB177" i="28"/>
  <c r="D79" i="28"/>
  <c r="D10" i="28"/>
  <c r="D389" i="28"/>
  <c r="X9" i="28"/>
  <c r="X8" i="28" s="1"/>
  <c r="Y8" i="28" s="1"/>
  <c r="D210" i="28"/>
  <c r="C349" i="28"/>
  <c r="D419" i="28"/>
  <c r="D329" i="28"/>
  <c r="D415" i="28"/>
  <c r="G20" i="28"/>
  <c r="D20" i="28" s="1"/>
  <c r="C20" i="28"/>
  <c r="F9" i="28"/>
  <c r="G209" i="28"/>
  <c r="C209" i="28"/>
  <c r="F177" i="28"/>
  <c r="S209" i="28"/>
  <c r="R177" i="28"/>
  <c r="S177" i="28" s="1"/>
  <c r="B9" i="28"/>
  <c r="U9" i="28"/>
  <c r="B209" i="28"/>
  <c r="M282" i="28"/>
  <c r="D282" i="28" s="1"/>
  <c r="C282" i="28"/>
  <c r="B418" i="28"/>
  <c r="V310" i="28"/>
  <c r="D310" i="28" s="1"/>
  <c r="U177" i="28"/>
  <c r="V177" i="28" s="1"/>
  <c r="C310" i="28"/>
  <c r="B178" i="28"/>
  <c r="M65" i="28"/>
  <c r="D65" i="28" s="1"/>
  <c r="L64" i="28"/>
  <c r="C64" i="28" s="1"/>
  <c r="D400" i="28"/>
  <c r="S9" i="28"/>
  <c r="AB9" i="28"/>
  <c r="AA8" i="28"/>
  <c r="AB8" i="28" s="1"/>
  <c r="C399" i="28"/>
  <c r="C65" i="28"/>
  <c r="P52" i="28"/>
  <c r="D52" i="28" s="1"/>
  <c r="O9" i="28"/>
  <c r="I9" i="28"/>
  <c r="D47" i="28"/>
  <c r="D349" i="28"/>
  <c r="L177" i="28"/>
  <c r="M178" i="28"/>
  <c r="D178" i="28" s="1"/>
  <c r="C178" i="28"/>
  <c r="D418" i="28"/>
  <c r="G399" i="28"/>
  <c r="D399" i="28" s="1"/>
  <c r="R8" i="28" l="1"/>
  <c r="S8" i="28" s="1"/>
  <c r="Y9" i="28"/>
  <c r="O8" i="28"/>
  <c r="P8" i="28" s="1"/>
  <c r="P9" i="28"/>
  <c r="D209" i="28"/>
  <c r="B8" i="28"/>
  <c r="B177" i="28"/>
  <c r="V9" i="28"/>
  <c r="U8" i="28"/>
  <c r="V8" i="28" s="1"/>
  <c r="G9" i="28"/>
  <c r="F8" i="28"/>
  <c r="M177" i="28"/>
  <c r="J9" i="28"/>
  <c r="I8" i="28"/>
  <c r="J8" i="28" s="1"/>
  <c r="M64" i="28"/>
  <c r="D64" i="28" s="1"/>
  <c r="L9" i="28"/>
  <c r="G177" i="28"/>
  <c r="C177" i="28"/>
  <c r="D177" i="28" l="1"/>
  <c r="M9" i="28"/>
  <c r="D9" i="28" s="1"/>
  <c r="L8" i="28"/>
  <c r="M8" i="28" s="1"/>
  <c r="G8" i="28"/>
  <c r="C9" i="28"/>
  <c r="C8" i="28" l="1"/>
  <c r="D8" i="28"/>
</calcChain>
</file>

<file path=xl/comments1.xml><?xml version="1.0" encoding="utf-8"?>
<comments xmlns="http://schemas.openxmlformats.org/spreadsheetml/2006/main">
  <authors>
    <author>Diana Gavrailova</author>
    <author>Автор</author>
  </authors>
  <commentList>
    <comment ref="E29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F29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K34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L34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Z38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8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W61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МТСП
6101</t>
        </r>
      </text>
    </comment>
    <comment ref="X61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МТСП
6101</t>
        </r>
      </text>
    </comment>
    <comment ref="K108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L108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K114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23256 в бюджета на Кметство с. Ресен</t>
        </r>
      </text>
    </comment>
    <comment ref="L114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23256 в бюджета на Кметство с. Ресен</t>
        </r>
      </text>
    </comment>
    <comment ref="E206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F206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W218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Gavrailova:Трансфер от Министерство на образованието
6101</t>
        </r>
      </text>
    </comment>
    <comment ref="X218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Gavrailova:Трансфер от Министерство на образованието
6101</t>
        </r>
      </text>
    </comment>
    <comment ref="Z232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232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W332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X332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T336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U336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W343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ПУДООС 
6401</t>
        </r>
      </text>
    </comment>
    <comment ref="X343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ПУДООС 
6401</t>
        </r>
      </text>
    </comment>
  </commentList>
</comments>
</file>

<file path=xl/sharedStrings.xml><?xml version="1.0" encoding="utf-8"?>
<sst xmlns="http://schemas.openxmlformats.org/spreadsheetml/2006/main" count="930" uniqueCount="650">
  <si>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</si>
  <si>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</si>
  <si>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</si>
  <si>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</si>
  <si>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</si>
  <si>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</si>
  <si>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</si>
  <si>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</si>
  <si>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</si>
  <si>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Други извънбюджетни средства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</si>
  <si>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</si>
  <si>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</si>
  <si>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</si>
  <si>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</si>
  <si>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Основен ремонт сграда Дирекция МДТ, Община Велико Търново, в т.ч. архивни помещения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</si>
  <si>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</si>
  <si>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</si>
  <si>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</si>
  <si>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</si>
  <si>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</si>
  <si>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</si>
  <si>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</si>
  <si>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</si>
  <si>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</si>
  <si>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</si>
  <si>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</si>
  <si>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</si>
  <si>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</si>
  <si>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</si>
  <si>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</si>
  <si>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</si>
  <si>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</si>
  <si>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</si>
  <si>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</si>
  <si>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</si>
  <si>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</si>
  <si>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</si>
  <si>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</si>
  <si>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</si>
  <si>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</si>
  <si>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</si>
  <si>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</si>
  <si>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</si>
  <si>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</si>
  <si>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</si>
  <si>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</si>
  <si>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</si>
  <si>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</si>
  <si>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</si>
  <si>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</si>
  <si>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</si>
  <si>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</si>
  <si>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</si>
  <si>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</si>
  <si>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</si>
  <si>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</si>
  <si>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</si>
  <si>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</si>
  <si>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</si>
  <si>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</si>
  <si>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</si>
  <si>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</si>
  <si>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</si>
  <si>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</si>
  <si>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</si>
  <si>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</si>
  <si>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</si>
  <si>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 xml:space="preserve">Пушево  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</si>
  <si>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</si>
  <si>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</si>
  <si>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</si>
  <si>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</si>
  <si>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</si>
  <si>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</si>
  <si>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 xml:space="preserve">Войнежа 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</si>
  <si>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</si>
  <si>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</si>
  <si>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</si>
  <si>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</si>
  <si>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</si>
  <si>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</si>
  <si>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</si>
  <si>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</si>
  <si>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</si>
  <si>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</si>
  <si>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Функция 07 Почивно дело, култура, религиоз. дейности</t>
  </si>
  <si>
    <t>Сграфито пана - реставрация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</si>
  <si>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</si>
  <si>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</si>
  <si>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</si>
  <si>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</si>
  <si>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</si>
  <si>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</si>
  <si>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</si>
  <si>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</si>
  <si>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</si>
  <si>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</si>
  <si>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</si>
  <si>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</si>
  <si>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</si>
  <si>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</si>
  <si>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</si>
  <si>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</si>
  <si>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</si>
  <si>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</si>
  <si>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</si>
  <si>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</si>
  <si>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</si>
  <si>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</si>
  <si>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</si>
  <si>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</si>
  <si>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</si>
  <si>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Системи за видеонаблюдение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</si>
  <si>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</si>
  <si>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</si>
  <si>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</si>
  <si>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</si>
  <si>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</si>
  <si>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</si>
  <si>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</si>
  <si>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</si>
  <si>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</si>
  <si>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Климатици за нуждите на детските градини в Община Велико Търново</t>
  </si>
  <si>
    <t>5205  Придобиване на стопански инвентар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</si>
  <si>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</si>
  <si>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</si>
  <si>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</si>
  <si>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</si>
  <si>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</si>
  <si>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Компютри за нуждите на детски ясли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</si>
  <si>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</si>
  <si>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</si>
  <si>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ДЯ "Щастливо детство" - документален скенер</t>
  </si>
  <si>
    <t>Лек автомобил за нуждите на Детски ясли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</si>
  <si>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</si>
  <si>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</si>
  <si>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</si>
  <si>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</si>
  <si>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</si>
  <si>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</si>
  <si>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</si>
  <si>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</si>
  <si>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</si>
  <si>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</si>
  <si>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</si>
  <si>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</si>
  <si>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</si>
  <si>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</si>
  <si>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</si>
  <si>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5219 Придобиване на други ДМА</t>
  </si>
  <si>
    <t>Компютърна конфигурация за нуждите на ОП "Зелени системи"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</si>
  <si>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</si>
  <si>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</si>
  <si>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</si>
  <si>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</si>
  <si>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</si>
  <si>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</si>
  <si>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</si>
  <si>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</si>
  <si>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</si>
  <si>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</si>
  <si>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</si>
  <si>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</si>
  <si>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</si>
  <si>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</si>
  <si>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</si>
  <si>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</si>
  <si>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Изграждане на подпорна стена и канализация за ново спортно игрище</t>
  </si>
  <si>
    <t>Изместване на кабелни линии и трафопост "Ледена пързалка", гр. В. Търново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</si>
  <si>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</si>
  <si>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</si>
  <si>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</si>
  <si>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</si>
  <si>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</si>
  <si>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</si>
  <si>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Принтер 3D за нуждите на РБ "П.Р.Славейков"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</si>
  <si>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</si>
  <si>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</si>
  <si>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</si>
  <si>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</si>
  <si>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</si>
  <si>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</si>
  <si>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</si>
  <si>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</si>
  <si>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</si>
  <si>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</si>
  <si>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</si>
  <si>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</si>
  <si>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 - ОП "Спотни имоти и прояви"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</si>
  <si>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</si>
  <si>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</si>
  <si>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</si>
  <si>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</si>
  <si>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</si>
  <si>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</si>
  <si>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</si>
  <si>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</si>
  <si>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</si>
  <si>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</si>
  <si>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</si>
  <si>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</si>
  <si>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Съгласувал,</t>
  </si>
  <si>
    <t>инж. Динко Кечев</t>
  </si>
  <si>
    <t>Директор дирекция СУТ</t>
  </si>
  <si>
    <t>Изготвил,</t>
  </si>
  <si>
    <t>П. Христов</t>
  </si>
  <si>
    <t>Началник отдел ИТО</t>
  </si>
  <si>
    <t>било</t>
  </si>
  <si>
    <t>става</t>
  </si>
  <si>
    <t>промяна</t>
  </si>
  <si>
    <t>Трансфери м/у бюджета и ЦБ и други</t>
  </si>
  <si>
    <t>Видеотермален дисплей ОУ "Димитър Благоев" , гр. В. Търново</t>
  </si>
  <si>
    <t>Подопочистваща машина СУ  "В. Благоева"</t>
  </si>
  <si>
    <t>Игрална маса с полета за шах - ПМГ "В. Друмев", гр. Велико Търново, проект Еразъм + /код 96/</t>
  </si>
  <si>
    <t>Детска площадка КСУД, гр. В. Търново, ул. "Симеон Велики" №3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</si>
  <si>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</si>
  <si>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</si>
  <si>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</si>
  <si>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</si>
  <si>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</si>
  <si>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</si>
  <si>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 xml:space="preserve">Хотница </t>
  </si>
  <si>
    <t xml:space="preserve">Шереметя </t>
  </si>
  <si>
    <t xml:space="preserve">Габровци </t>
  </si>
  <si>
    <t xml:space="preserve">Килифарево </t>
  </si>
  <si>
    <t xml:space="preserve">Самоводене  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</si>
  <si>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</si>
  <si>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</si>
  <si>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</si>
  <si>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</si>
  <si>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</si>
  <si>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 xml:space="preserve">Основен ремонт покрив ОУ "П.Р.Славейков", гр. В. Търново </t>
  </si>
  <si>
    <t>Беляковец /в т.ч. 4 780 лева преходен остатък, 17 221 лева от 30% продажба на общинско имущество/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</si>
  <si>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</si>
  <si>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Камион до 3,5 тона товароносимост за нуждите на ОП "Зелени системи"</t>
  </si>
  <si>
    <t>Компютри и хардуер по проект "Изкуство и култура" - Галерия ROBG-576 /код 96/</t>
  </si>
  <si>
    <t>Система за видеонаблюдение за Паметника на Опълченците Кметство с. Ресен</t>
  </si>
  <si>
    <t>Компютри и хардуер за нуждите на Великотърновски общински съвет</t>
  </si>
  <si>
    <t>ОУ "Бачо Киро" - преносими компютри и многофункционално устройство</t>
  </si>
  <si>
    <t>ОУ "Христо Ботев" - преносими компютри</t>
  </si>
  <si>
    <t>ПМГ "Васил Друмев"  гр. В. Търново -  лаптопи, компютърни конфигурации, интерактивни дисплеи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</si>
  <si>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</si>
  <si>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</si>
  <si>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СУ "Ем. Станев"- преносими компютри и мултимедиен прожектор</t>
  </si>
  <si>
    <t>СУ "Ем. Станев"- пулт за озвучаване и тонколони</t>
  </si>
  <si>
    <t>ПМГ "В. Друмев" - система за видеонаблюдение</t>
  </si>
  <si>
    <t>СУ "Ем. Станев"- климатични системи</t>
  </si>
  <si>
    <t>ПМГ "В. Друмев" - мебели по НП "Играждане на STEM среда"</t>
  </si>
  <si>
    <t>ПМГ "В. Друмев" - Образователен софтуер за интерактивен дисплей по НП "Играждане на STEM среда"</t>
  </si>
  <si>
    <t>ПМГ "В. Друмев" - Образователен и експериментален софтуер за стереоскопичен лаптоп по НП "Играждане на STEM среда"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</si>
  <si>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</si>
  <si>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ПМГ "Васил Друмев"  гр. В. Търново -  изграждане на Център за природни науки, изследвания и иновации</t>
  </si>
  <si>
    <t>Тракторна косачка за нуждите на РИМ В. Търново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</si>
  <si>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</si>
  <si>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</si>
  <si>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</si>
  <si>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</si>
  <si>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</si>
  <si>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</si>
  <si>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</si>
  <si>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</si>
  <si>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Общински такси</t>
  </si>
  <si>
    <t xml:space="preserve"> - Община Велико Търново</t>
  </si>
  <si>
    <t>Други неданъчни приходи</t>
  </si>
  <si>
    <t>Събр.и внес.ДДС и др.дан.в/у продажби/нето/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</si>
  <si>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</si>
  <si>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</si>
  <si>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</si>
  <si>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</si>
  <si>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</si>
  <si>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вътр. трансф.в системата на първост.р-л </t>
  </si>
  <si>
    <t xml:space="preserve"> - Център за социални услуги</t>
  </si>
  <si>
    <t xml:space="preserve"> - Кметство Ресен</t>
  </si>
  <si>
    <t xml:space="preserve"> - Кметство Самоводене</t>
  </si>
  <si>
    <t>ВСИЧКО ТРАНСФЕРИ:</t>
  </si>
  <si>
    <t>ВСИЧКО ПРИХОДИ ЗА ДЕЛЕГ.ОТ ДЪРЖ.Д-СТИ:</t>
  </si>
  <si>
    <t>МЕСТНИ ПРИХОДИ</t>
  </si>
  <si>
    <t xml:space="preserve"> - приходи от лихви по текущи банкови сметки</t>
  </si>
  <si>
    <t xml:space="preserve"> - внесен данък върху приходите от стопанска дейност на бюджетните предприятия (-)</t>
  </si>
  <si>
    <t>Трансфери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</si>
  <si>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</si>
  <si>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</si>
  <si>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</si>
  <si>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</si>
  <si>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1 Общи държавни служби</t>
  </si>
  <si>
    <t>Група 1 Изпълнителни и законодателни органи</t>
  </si>
  <si>
    <t xml:space="preserve"> - в т. ч.:</t>
  </si>
  <si>
    <t>Функция 2 Отбрана и сигурност</t>
  </si>
  <si>
    <t>Функция 3 Образование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</si>
  <si>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</si>
  <si>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</si>
  <si>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</si>
  <si>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</si>
  <si>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</si>
  <si>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Функция 4 Здравеопазване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</si>
  <si>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</si>
  <si>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</si>
  <si>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</si>
  <si>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</si>
  <si>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</si>
  <si>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</si>
  <si>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</si>
  <si>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>Група 2 Опазване на околната среда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</si>
  <si>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</si>
  <si>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</si>
  <si>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</si>
  <si>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М. Маринов</t>
  </si>
  <si>
    <t>Директор дирекция БФ</t>
  </si>
  <si>
    <t>Д. Данчева</t>
  </si>
  <si>
    <t>Гл. счетоводител</t>
  </si>
  <si>
    <t>Д. Гавраилова,</t>
  </si>
  <si>
    <t>Приложение №2</t>
  </si>
  <si>
    <t>Р   А  З  П  Р  Е  Д  Е  Л  Е  Н  И  Е</t>
  </si>
  <si>
    <t>МЕСТНИТЕ ДЕЙНОСТИ И ДОФИНАНСИРАНИТЕ ДЕЙНОСТИ ЗА 2021 ГОДИНА</t>
  </si>
  <si>
    <t xml:space="preserve">№ по ред </t>
  </si>
  <si>
    <t xml:space="preserve">П О К А З А Т Е Л И 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</si>
  <si>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</si>
  <si>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</si>
  <si>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</si>
  <si>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</si>
  <si>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</si>
  <si>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</si>
  <si>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</si>
  <si>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</si>
  <si>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</si>
  <si>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</si>
  <si>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</si>
  <si>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</si>
  <si>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</si>
  <si>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</si>
  <si>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</si>
  <si>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Наркотични вещества</t>
  </si>
  <si>
    <t>ІV.</t>
  </si>
  <si>
    <t>Функция  "Социално осигуряване, подпомагане и грижи"</t>
  </si>
  <si>
    <t xml:space="preserve">Домове за деца </t>
  </si>
  <si>
    <t>V.</t>
  </si>
  <si>
    <t>Функция " Почивно дело, култура, религиозни дейности"</t>
  </si>
  <si>
    <t>МЕСТНИ ДЕЙНОСТИ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</si>
  <si>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</si>
  <si>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</si>
  <si>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</si>
  <si>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</si>
  <si>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</si>
  <si>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</si>
  <si>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</si>
  <si>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</si>
  <si>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</si>
  <si>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</si>
  <si>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</si>
  <si>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</si>
  <si>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Духов оркестър</t>
  </si>
  <si>
    <t>ОП "Общинско кабелно радио"</t>
  </si>
  <si>
    <t>ДКС "Васил Левски"</t>
  </si>
  <si>
    <t>1.4.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</si>
  <si>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</si>
  <si>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</si>
  <si>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</si>
  <si>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</si>
  <si>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</si>
  <si>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</si>
  <si>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2.1.</t>
  </si>
  <si>
    <t>Приют за кучета</t>
  </si>
  <si>
    <t>2.2.</t>
  </si>
  <si>
    <t xml:space="preserve">Административно - техническо обслужване </t>
  </si>
  <si>
    <t>2.3.</t>
  </si>
  <si>
    <t>ОП " Реклама "</t>
  </si>
  <si>
    <t>2.4.</t>
  </si>
  <si>
    <t>Младежки дом</t>
  </si>
  <si>
    <t>ДЪРЖАВНИ ДЕЙНОСТИ, ДОФИНАНСИРАНИ С МЕСТНИ ПРИХОДИ</t>
  </si>
  <si>
    <t>ІІІ.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</si>
  <si>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</si>
  <si>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</si>
  <si>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</si>
  <si>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К. Денева</t>
  </si>
  <si>
    <t>Ст.експерт дирекция "Бюджет и финанси"</t>
  </si>
  <si>
    <t xml:space="preserve"> -Дирекция ОМДС, вкл. образователни институции</t>
  </si>
  <si>
    <t xml:space="preserve">  - Дирекция ОМДС, вкл. образователни институции</t>
  </si>
  <si>
    <t xml:space="preserve"> -Дирекция  КТМД, вкл. регионални структури в сферата на културата</t>
  </si>
  <si>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</si>
  <si>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</si>
  <si>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</si>
  <si>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</si>
  <si>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 xml:space="preserve">На основание чл. 21, ал.1, т.6 и т. 23 от ЗМСМА, и чл.124, ал.2 от Закона за публичните финанси, </t>
  </si>
  <si>
    <t>Великотърновски общински съвет реши:</t>
  </si>
  <si>
    <t>на Община Велико Търново, както следва:</t>
  </si>
  <si>
    <t>ДО</t>
  </si>
  <si>
    <t>съгласно Приложение 1 към настоящото Предложение.</t>
  </si>
  <si>
    <t>Сн. Данева - Иванова</t>
  </si>
  <si>
    <t>Зам. - кмет "Финанси"</t>
  </si>
  <si>
    <t>Д. Йонкова</t>
  </si>
  <si>
    <t>Директор дирекция ПОУС</t>
  </si>
  <si>
    <t xml:space="preserve">2. Приема актуализация на Инвестиционната програма на Община Велико Търново за 2021 год., </t>
  </si>
  <si>
    <t>ПРОМЯНА</t>
  </si>
  <si>
    <t>ВСИЧКО:</t>
  </si>
  <si>
    <t>ПРИЛОЖЕНИЕ 1</t>
  </si>
  <si>
    <t>БИЛО</t>
  </si>
  <si>
    <t>СТАВА</t>
  </si>
  <si>
    <t>в т.ч.</t>
  </si>
  <si>
    <t xml:space="preserve"> общински съветници</t>
  </si>
  <si>
    <t>ДЯ "Пролет" - укрепване на северната едноетажна част на сградата</t>
  </si>
  <si>
    <t>Основен ремонт защитени жилища І и ІІ, гр. Дебелец</t>
  </si>
  <si>
    <t>СУ "Вела Благоева" - преносими компютри</t>
  </si>
  <si>
    <t>Спортно училище "Георги Живков",  гр. Велико Търново - компютърни конфигурации</t>
  </si>
  <si>
    <t>ПЕГ "Асен Златаров",  гр. В. Търново -  интерактивни дисплеи</t>
  </si>
  <si>
    <t xml:space="preserve">СУ "Владимир Комаров" - Образователен софтуер </t>
  </si>
  <si>
    <t>Основен ремонт сгради общинска собственост на територията на кметство с. Велчево - читалище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</si>
  <si>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</si>
  <si>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</si>
  <si>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</si>
  <si>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</si>
  <si>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</si>
  <si>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сгради общинска собственост на територията на кметство с. Хотница - пенсионерски клуб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</si>
  <si>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</si>
  <si>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ІV тр.</t>
  </si>
  <si>
    <t>Трансфери м/у бюджета на БО и ЦБ /нето/</t>
  </si>
  <si>
    <t>получени от общини трансфери за други целеви разходи от ЦБ чрез  кодовете в СЕБРА 488 001 ххх-х</t>
  </si>
  <si>
    <t>ВСИЧКО Трансфери м/у бюджета на БО и ЦБ:</t>
  </si>
  <si>
    <t xml:space="preserve">Трансфери от/за държавни предприятия и други лица, включени в консолидираната фискална програма </t>
  </si>
  <si>
    <t>6400</t>
  </si>
  <si>
    <t>получени трансфери (+)</t>
  </si>
  <si>
    <t>6401</t>
  </si>
  <si>
    <t xml:space="preserve"> - Група кметства Килифарево</t>
  </si>
  <si>
    <t>Разработване на електронна система за продажба на музейни билети - РИМ В. Търново</t>
  </si>
  <si>
    <t>Храсторез за нуждите на Кметско наместничество с. Войнежа</t>
  </si>
  <si>
    <t>Рекултивация на депо за ТБО в с. Шереметя, Община Велико Търново /възстановяване/</t>
  </si>
  <si>
    <t>Реновиране и модернизация на материалната база на ЦНСТПЛУИ с. Церова Кория</t>
  </si>
  <si>
    <t>Касети за контейнери</t>
  </si>
  <si>
    <t>ДЯ "Слънце" -  детска площадка</t>
  </si>
  <si>
    <t>Проект "Чиста и безопасна детска площадка - Здраве в аванс", с. Беляковец ПУДООС</t>
  </si>
  <si>
    <t>Ремонт на наклонения асансьор в АМР "Царевец"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</si>
  <si>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</si>
  <si>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</si>
  <si>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Подмяна дограма на Клуб на пенсионера и инвалида Кметство с. Балван /30% продажба на общинско имущество/</t>
  </si>
  <si>
    <t>Ремонт на сградата на НЧ "Нива - 1898" Кметство с. Балван /30% продажба на общинско имущество/</t>
  </si>
  <si>
    <t>Ремонт водопроводна мрежа ул. "Втора", с. Шереметя /30% продажба на общинско имущество/</t>
  </si>
  <si>
    <t>Компютър за нуждите на здравен медиатор</t>
  </si>
  <si>
    <t>Контролер Loxone miniserver - ОУ "Бачо Киро", гр. В. Търново</t>
  </si>
  <si>
    <t>Детска площадка КСУД, гр. В. Търново, ул. "Симеон Велики" №3 - ремонт парапет</t>
  </si>
  <si>
    <t>Основен ремонт ЦРДМ с. Хотница - подмяна дограма</t>
  </si>
  <si>
    <t>Основен ремонт КПИ с. Хотница - подова настилка</t>
  </si>
  <si>
    <t>ДЯ "Мечо Пух" - акордеон</t>
  </si>
  <si>
    <t>Войнежа /в т.ч. 1 398 лева 30% продажба на общинско имущество/</t>
  </si>
  <si>
    <t>Направа на подова настилка от дървен "декинг" върху бетонна сцена на Летен театър</t>
  </si>
  <si>
    <t>Доставка на техническо оборудване - три комплекта чиги за сцена на Летен театър</t>
  </si>
  <si>
    <t>Фасаден часовник ХГ "Борис Денев", гр. В. Търново</t>
  </si>
  <si>
    <t>Клонорез за нуждите на Кметство с. Ресен</t>
  </si>
  <si>
    <t>Моторна коса за нуждите на Кметство с. Ресен</t>
  </si>
  <si>
    <t>Изграждане на игрище за скейтборд  - ОП "Спортни имоти и прояви"</t>
  </si>
  <si>
    <t>Система за видеонаблюдение Кметство с. Войнежа 30% продажба на общинско имущество</t>
  </si>
  <si>
    <t>Компютри по проект "Патронажна грижа + ", ОП "Развитие на човешките ресурси" 2014-2020, №BG05M9OP001-6.002-0077-C01 /код 98/</t>
  </si>
  <si>
    <t>Мебели за нуждите на Община Велико Търново</t>
  </si>
  <si>
    <t>Видеосистеми за видеонаблюдение ХГ "Борис Денев"</t>
  </si>
  <si>
    <t xml:space="preserve"> - Кметство Дебелец</t>
  </si>
  <si>
    <t>Проект "Килифарево - 2021" по НК "Чиста околна среда" ПУДООС</t>
  </si>
  <si>
    <t>Функция 8 Икономически дейности и услуги</t>
  </si>
  <si>
    <t>Група 6 Други дейности по икономиката</t>
  </si>
  <si>
    <t>Приходи и доходи от собственост</t>
  </si>
  <si>
    <t xml:space="preserve"> - за ползване на общежития и други по образованието</t>
  </si>
  <si>
    <t>НАИМЕНОВАНИЕ</t>
  </si>
  <si>
    <t>РА КЪМ ДФ "ЗЕМЕДЕЛИЕ" - код 42 (РА)</t>
  </si>
  <si>
    <t>НАЦИОНАЛЕН ФОНД /ИБСФ-3-КСФ/ - код 98</t>
  </si>
  <si>
    <t>ДРУГИ МЕЖДУНАРОДНИ ПРОГРАМИ - код 97 (ДМП)</t>
  </si>
  <si>
    <t>ДРУГИ СРЕДСТВА ОТ ЕС  - ДЕС - код 96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</si>
  <si>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</si>
  <si>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Ремонт площадно пространство с. Присово /30% продажба на общинско имущество</t>
  </si>
  <si>
    <t>Обновяване на детска площадка с. Самоводене</t>
  </si>
  <si>
    <t>Възстановяване на подпорна стена, северно от жилищен блок с адм.адрес: ул. "Симеон Велики" 4</t>
  </si>
  <si>
    <t>ДЯ "Зорница", гр. Дебелец -  детска площадка</t>
  </si>
  <si>
    <t>ППР за обновяване и озеленяване на дворно място, гр. В. Търново, ул. "Симеон Велики" №3</t>
  </si>
  <si>
    <t>Дневен център за деца и младежи с увреждания "Дъга", гр. Велико Търново - беседка с ударопоглъщаща настилка</t>
  </si>
  <si>
    <t>Дневен център за деца и младежи с увреждания "Дъга", гр. Велико Търново - климатик</t>
  </si>
  <si>
    <t>Клуб на пенсионера и инвалида, ул. "Краков" 8, гр. В. Търново - климатик</t>
  </si>
  <si>
    <t>Товарен автомобил за нуждите на Домашен социален патронаж</t>
  </si>
  <si>
    <t>ДЯ "Щастливо детство", ДЯ "Пролет", ДЯ "Слънце, ДЯ "Зорница" - професионални сушилни</t>
  </si>
  <si>
    <t>Подмяна на настилка Градски площад, гр. Дебелец</t>
  </si>
  <si>
    <t>Климатик за нуждите на Кметство с. Ресен</t>
  </si>
  <si>
    <t xml:space="preserve">Основен ремонт - изграждане на STEM център за природни науки, изследвания и иновации ОУ "Бачо Киро" </t>
  </si>
  <si>
    <t>Изработване на инвестиционен проект - актуализация на проект "Внедряване на мерки за енергийна ефективност в ОУ "П.Р.Славейков", гр. В. Търново и извършване на енергийно обследване и издаване на сертификат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</si>
  <si>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</si>
  <si>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</si>
  <si>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</si>
  <si>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Компютри за нуждите на дирекция ОМДС</t>
  </si>
  <si>
    <t>Доизграждане на Wi-Fi зона в парк "Св.гора", парк "Колю Фичето", парк "Дружба", свързано с осигуряване на устойчивост на проект WIFI4EU</t>
  </si>
  <si>
    <t xml:space="preserve">Изграждане на нова улична осветителна мрежа </t>
  </si>
  <si>
    <t>Основен ремонт на съществуваща водопроводна мрежа гр. Велико Търново</t>
  </si>
  <si>
    <t xml:space="preserve">Група 5 Защита на населението, управление и дейности при стихийни бедствия и аварии </t>
  </si>
  <si>
    <t>Група 3 Транспорт и съобщения</t>
  </si>
  <si>
    <t>Детска площадка в ДГ "Слънчев дом" ПУДООС</t>
  </si>
  <si>
    <t>Детско съоръжение  Кметство с. Ресен</t>
  </si>
  <si>
    <t xml:space="preserve">Изграждане на детска площадка в междублоково пространство на ул. "Деню Чоканов" №6 </t>
  </si>
  <si>
    <t>Изграждане на детска площадка в междублоково пространство на ул. "Ниш" №6, гр. В. Търново</t>
  </si>
  <si>
    <t>СУ "Вела Благоева" - изграждане на Wi-Fi мрежа</t>
  </si>
  <si>
    <t>Детска площадка в ДГ "Соня" по безопасност на движението по пътищата</t>
  </si>
  <si>
    <t>Система за видеонаблюдение СУ "Вела Благоева"</t>
  </si>
  <si>
    <t>Камина за опити - ПХГ "Св.Св. Кирил и Методий"</t>
  </si>
  <si>
    <t>Мебелно оборудване за STEM кабинет в ОУ "П.Р.Славейков"</t>
  </si>
  <si>
    <t>ПЕГ "Проф.д-р Асен Златаров" - Образователен софтуер - трансфер МОН</t>
  </si>
  <si>
    <t>Детска площадка в ДГ "Звездица", с. Шемшево ПУДООС</t>
  </si>
  <si>
    <t>реализирани курсови разлики от валутни операции (нето) (+/-)</t>
  </si>
  <si>
    <t>Възстановяване сградата на детска градина „Пинокио”, с. Самоводене, УПИ-I, кв. 37, по ПМС 250 от 04.09.2020 г. и ПМС 207/29.06.2021 г.</t>
  </si>
  <si>
    <t>Изграждане на асфалтов пъмп трак в УПИ XI-3779, кв. 237, гр. Велико Търново</t>
  </si>
  <si>
    <t>Система за видеонаблюдение Кметство с. Ново село 30% продажба на общинско имущество</t>
  </si>
  <si>
    <t>Пушево  /в т.ч. 2550 лева от 30 % продажба на общинско имущество/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</si>
  <si>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</t>
  </si>
  <si>
    <t>ДГ "Рада Войвода" - сушилня</t>
  </si>
  <si>
    <t>ОУ "Петър Берон", гр. Дебелец - Доизграждане на безжична WiFi мрежа</t>
  </si>
  <si>
    <t>Компютри за нуждите на РИМ В. Търново</t>
  </si>
  <si>
    <t>ОУ "П.Р.Славейков", гр. Велико Търново  - интерактивен дисплей и преносими компютри по НП "Изграждане на STEM среда"</t>
  </si>
  <si>
    <t>Компютри за нуждите на ДГ "Шареният замък", гр. Велико Търново</t>
  </si>
  <si>
    <t>Основен ремонт  Домашен социален патронаж- гр. Велико Търново, филиал с. Ново село</t>
  </si>
  <si>
    <t>Климатици за нуждите на ДКС "В. Левски"</t>
  </si>
  <si>
    <t>Бариера за нуждите на ДКС "В. Левски"</t>
  </si>
  <si>
    <t>Климатици за нуждите РИМ , гр. В. Търново</t>
  </si>
  <si>
    <t>Стопански инвентар Кметство с. Русаля /30% от продажба на общинско имущество/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</si>
  <si>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</si>
  <si>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ОПЕРАЦИИ С ФИН.АКТИВИ И ПАСИВИ</t>
  </si>
  <si>
    <t>Депозити и ср-ва по с/ки /нето/</t>
  </si>
  <si>
    <t xml:space="preserve"> - наличност в левове по сметки в края на периода (-)</t>
  </si>
  <si>
    <t>ВСИЧКО ОПЕРАЦИИ С ФИН.АКТИВИ И ПАСИВИ:</t>
  </si>
  <si>
    <t>внесен ДДС (-)</t>
  </si>
  <si>
    <t>Постъпления от продажба на нефинансови активи</t>
  </si>
  <si>
    <t xml:space="preserve"> - постъпления от продажба на сгради</t>
  </si>
  <si>
    <t xml:space="preserve"> - постъпления от продажба на земя</t>
  </si>
  <si>
    <t>РАЗШИФРОВКА НА КАПИТАЛОВИТЕ РАЗХОДИ, ФИНАНСИРАНИ ОТ ПРИХОДИ ПО 
§40-00 Постъпления от продажба на общински нефинансови активи съгл. чл.127, ал. 2 от ЗПФ</t>
  </si>
  <si>
    <t>(в лв.)</t>
  </si>
  <si>
    <t>No</t>
  </si>
  <si>
    <t>Наименование и местонахождение на обектите</t>
  </si>
  <si>
    <t>Годишна стойност</t>
  </si>
  <si>
    <t>Източник на финансиране</t>
  </si>
  <si>
    <t xml:space="preserve">§ 40-00 Постъпления от продажба на общински нефинансови активи </t>
  </si>
  <si>
    <t>Постъпления от продажба на общински нефинансови активи,  
(планирани по бюджета на общината за 2021 г.)</t>
  </si>
  <si>
    <t xml:space="preserve">  Параграф 5100: Основен ремонт на дълготрайни материални активи</t>
  </si>
  <si>
    <t xml:space="preserve">    Функция 06: Жилищно строителство, благоустройство, комунално стопанство и опазване на околната среда 
</t>
  </si>
  <si>
    <t>Предоставени трансфери между бюджети и сметки за средствата от Европейския съюз</t>
  </si>
  <si>
    <t>Собствено участие по Европейски проекти и Други  програми за финансиране на проекти на социалната и техническа инфрастурктура</t>
  </si>
  <si>
    <t>Погасяване на ползвани заеми за финансиране на проекти на социалната и техническа инфраструктура</t>
  </si>
  <si>
    <t xml:space="preserve">Договор за кредит с „Фонд за органите на местното самоуправление в България - ФЛАГ” ЕАД, с цел реализацията на проект: „Развитие на модерна образователна инфраструктура в град Велико Търново„ - финансиране на собствено участие на Община Велико Търново </t>
  </si>
  <si>
    <t>Директор дирекция "Бюджет и финанси"</t>
  </si>
  <si>
    <t>Главен счетоводител</t>
  </si>
  <si>
    <t>Д. Гавраилова, експерт Дирекция БФ</t>
  </si>
  <si>
    <t xml:space="preserve">1. Утвърждава промените по приходната и разходната част на Бюджета към 31.10.2021 година </t>
  </si>
  <si>
    <t>3. Изменя т. 3 от Решение №640/29.07.2021 г.  на Великотърновски общински съвет  както следва:</t>
  </si>
  <si>
    <t>Било:</t>
  </si>
  <si>
    <t>Става:</t>
  </si>
  <si>
    <t>КЪМ 31.10.2021 ГОДИНА</t>
  </si>
  <si>
    <t>Присово /в т.ч. 36 432 лева от 30% продажба на общинско имущество/</t>
  </si>
  <si>
    <t>Ресен /в т.ч. 70 180 лева от 30% продажба на общинско имущество/</t>
  </si>
  <si>
    <t>Банкнотоброячни машини за нуждите на дирекция МДТ</t>
  </si>
  <si>
    <t>ПРИЛОЖЕНИЕ № 3</t>
  </si>
  <si>
    <t xml:space="preserve">  Параграф  5206: Изграждане на инфраструктурни обекти</t>
  </si>
  <si>
    <t>ПЕГ "Асен Златаров",  гр. В. Търново -  Интерактивна система за стерео 3D визуализация</t>
  </si>
  <si>
    <t>ОУО "Колю Фичето" - компютри</t>
  </si>
  <si>
    <t>Доизграждане на система за озвучаване и оповестяване  ОУ "П.Р. Славейков"</t>
  </si>
  <si>
    <t>Експериментална оранжерия STEM проект в ОУ "П. Р. Славейков"</t>
  </si>
  <si>
    <t>Дървени съоръжения за обучение и отдих ОУ "Христо Ботев", гр. В. Тъново ПУДООС</t>
  </si>
  <si>
    <t>Система за видеонаблюдение Общежитието към Спортно училище "Георги Живков"</t>
  </si>
  <si>
    <t>Специализирани сензори за лабораторни упражнения по БЗО и ХООС - ПЕГ "Проф. Асен Златаров", гр. В. Търново</t>
  </si>
  <si>
    <t>Учебни маси с плот за кабинета по химия - ПЕГ "Проф. Асен Златаров", гр. В. Търново</t>
  </si>
  <si>
    <t>Детска площадка в ДГ "Иванка Ботева" ПУДООС</t>
  </si>
  <si>
    <t>Софтуери и лицензи в РБ "П.Р. Славейков"</t>
  </si>
  <si>
    <t>Климатична инсталация по Проект Енергийна ефективност ХГалерия "Борис Денев" по проект "Изкуство и култура" - Галерия ROBG-576 /код 96/</t>
  </si>
  <si>
    <t>Основен ремонт читалищна библиотека с. Самоводене</t>
  </si>
  <si>
    <t>ДЯ "Мечо Пух" - бойлер</t>
  </si>
  <si>
    <t>Компютърна конфигурация за нуждите на Кметство с. Ялово</t>
  </si>
  <si>
    <t>Мобилен компютър - проект "ППО" ОУ "Бачо Киро", гр. В. Търново /код 98/</t>
  </si>
  <si>
    <t>Интерактивен мулти-тъч дисплей - проект "ППО" СУ "Ем.Станев /код 98/</t>
  </si>
  <si>
    <t>Помощи и дарения от чужбина</t>
  </si>
  <si>
    <t>Приложение 3 към настоящото Предложение.</t>
  </si>
  <si>
    <t xml:space="preserve">5. Изменя Приложение 2  "Разшифровка на капиталовите разходи, финансирани от приходи по §§ 40-00 Постъпления от </t>
  </si>
  <si>
    <t xml:space="preserve">продажба на общински нефинансови активи, съгл.чл.127, ал.2 от ЗПФ"  от  Решение №735/28.10.2021 год. на ВТОБС, съгласно </t>
  </si>
  <si>
    <t>ІІ. ПО ИЗВЪНБЮДЖЕТНИТЕ СМЕТКИ ЗА СРЕДСТВА ОТ ЕВРОПЕЙСКИЯ СЪЮЗ</t>
  </si>
  <si>
    <t xml:space="preserve"> - текущи помощи и дарения от други международни организации</t>
  </si>
  <si>
    <t>трансфери между бюджети - получени трансфери (+)</t>
  </si>
  <si>
    <t>трансфери между бюджети - предоставени трансфери (-)</t>
  </si>
  <si>
    <t>3.  Дава съгласие за увеличение на собственото участие по проект „Разширение на „Мултимедиен посетителски</t>
  </si>
  <si>
    <t xml:space="preserve"> център „Царевград Търнов“ в размер на не повече от 92 0000 лв. Промяната по бюджета да бъде направена след </t>
  </si>
  <si>
    <t xml:space="preserve">приключване на процедурата по реда на ЗОП, обявена с Решение № F130926/30.06.2021 г. на Кмета на Община Велико </t>
  </si>
  <si>
    <t xml:space="preserve">Търново за избор на изпълнител с предмет „Изпълнение на строително-монтажни работи на обект „Разширение на </t>
  </si>
  <si>
    <t>“Мултимедиен посетителски център „Царевград Търнов” .</t>
  </si>
  <si>
    <t xml:space="preserve">3.  Дава съгласие за увеличение на собственото участие по проект „Разширение на „Мултимедиен посетителски </t>
  </si>
  <si>
    <t>център„Царевград Търнов“ в размер на не повече от 92 000 лв. /Деветдесет и две хиляди лева/. Промяната по бюджета</t>
  </si>
  <si>
    <t xml:space="preserve"> да бъде направена след приключване напроцедурата по реда на ЗОП, обявена с Решение № F130926/30.06.2021 г. на </t>
  </si>
  <si>
    <t xml:space="preserve">Кмета на Община Велико Търново за избор на изпълнител с предмет „Изпълнение на строително-монтажни работи на </t>
  </si>
  <si>
    <t>обект „Разширение на “Мултимедиен посетителски център „Царевград Търнов” .</t>
  </si>
  <si>
    <t>4. Изменя Приложение 2  "Разпределение на числеността и разходите за работни заплати за делегираните от държавата</t>
  </si>
  <si>
    <t xml:space="preserve">дейности, местните дейности и дофинансираните дейности за 2021 година"  от  Решение №692/30.09.2021 год. на ВТОБС, </t>
  </si>
  <si>
    <t>съгласно Приложение 2 към настоящото Предложение.</t>
  </si>
  <si>
    <t>Приложение № 4</t>
  </si>
  <si>
    <t>Разпределение на средствата по разпоредители с бюджет към Община Велико Търново по ПМС   №326/12.10.2021 към 31.10.21 г.</t>
  </si>
  <si>
    <t xml:space="preserve">Трансфери за други целеви разходи, предоставени в изпълнение на ПМС № 326 по §§31-18 от ЕБК </t>
  </si>
  <si>
    <t>Допълнителни трансфери по бюджета на общината (в лв.):</t>
  </si>
  <si>
    <t>параграф</t>
  </si>
  <si>
    <t>Наименование на параграф</t>
  </si>
  <si>
    <t>Община Велико Търново</t>
  </si>
  <si>
    <t xml:space="preserve"> Дирекция ОМДС</t>
  </si>
  <si>
    <t xml:space="preserve"> Дирекция ЦСУ</t>
  </si>
  <si>
    <t xml:space="preserve"> Дирекция  КТМД</t>
  </si>
  <si>
    <t>Кметство с. Ресен</t>
  </si>
  <si>
    <t xml:space="preserve">Кметство гр. Килифарево </t>
  </si>
  <si>
    <t>Кметсво гр. Дебелец</t>
  </si>
  <si>
    <t>ОП Зелени системи</t>
  </si>
  <si>
    <t>ОП Спортни имоти</t>
  </si>
  <si>
    <t xml:space="preserve">   ОП Кабелно радио</t>
  </si>
  <si>
    <t>ОП Реклама</t>
  </si>
  <si>
    <t xml:space="preserve">Младежки дом </t>
  </si>
  <si>
    <t>ДКС            "В. Левски"</t>
  </si>
  <si>
    <t>0100</t>
  </si>
  <si>
    <t>Заплати и възнаграждения за персонала, нает по трудови и служебни правоотношения</t>
  </si>
  <si>
    <t>0200</t>
  </si>
  <si>
    <t>Други възнаграждения и плащания за персонала</t>
  </si>
  <si>
    <t>0500</t>
  </si>
  <si>
    <t>Задължителни осигурителни вноски от работодатели</t>
  </si>
  <si>
    <t>1000</t>
  </si>
  <si>
    <t>Издръжка</t>
  </si>
  <si>
    <t>1011</t>
  </si>
  <si>
    <t>Храна</t>
  </si>
  <si>
    <t>1012</t>
  </si>
  <si>
    <t>Медикаменти</t>
  </si>
  <si>
    <t>1013</t>
  </si>
  <si>
    <t>Постелен инвентар и облекло</t>
  </si>
  <si>
    <t>1015</t>
  </si>
  <si>
    <t>Материали</t>
  </si>
  <si>
    <t>1016</t>
  </si>
  <si>
    <t>Вода, горива и енергия</t>
  </si>
  <si>
    <t>1020</t>
  </si>
  <si>
    <t>Разходи за външни услуги</t>
  </si>
  <si>
    <t>Разходи</t>
  </si>
  <si>
    <t>5200</t>
  </si>
  <si>
    <t>Придобиване на дълготрайни материални активи</t>
  </si>
  <si>
    <t>Капиталови разходи</t>
  </si>
  <si>
    <t>Всичко разходи</t>
  </si>
  <si>
    <t>За Кмет:</t>
  </si>
  <si>
    <t>/Съгл.Заповед №РД 22-2032/09.11.2021 г./</t>
  </si>
  <si>
    <t>Кр. Маринова</t>
  </si>
  <si>
    <t>мл. експерт Дирекция БФ</t>
  </si>
  <si>
    <t>6. Одобрява Разпределение на средствата по разпоредители с бюджет към Община Велико Търново към 31.10.2021</t>
  </si>
  <si>
    <t>година, във връзка с ПМС326/12.10.2021 година /Приложение 4/</t>
  </si>
  <si>
    <t>ОБЩО ПРОМЯНА:</t>
  </si>
  <si>
    <t>Подмяна на настилка Градски площад, гр. Дебелец - промяна на източник на финансиране</t>
  </si>
  <si>
    <t>Подмяна изкуствена настилка на тенис кортове на ул. "Мария Габровска" 2А, гр. Велико Търново с обща площ 3 592 кв.м. - промяна на източник на финансиране</t>
  </si>
  <si>
    <t>Изграждане на ДГ за 120 места в кв. "Зона - В", ПМС 260/24.11.2017 година - промяна на източник на финансиране</t>
  </si>
  <si>
    <t>Изграждане на подземна тръбна мрежа, гр. В. Търново - промяна на източник на финансиране</t>
  </si>
  <si>
    <t>Сграфито пана - реставрация - промяна на източник на финансиране</t>
  </si>
  <si>
    <t>гл. експерт Дирекция БФ</t>
  </si>
  <si>
    <t>/Съгл. Заповед №22-2032/09.11.2021 г./</t>
  </si>
  <si>
    <t>В останалата си част Решението остава непроменено.</t>
  </si>
  <si>
    <t xml:space="preserve">              НА ЧИСЛЕНОСТТА И РАЗХОДИТЕ ЗА РАБОТНИ ЗАПЛАТИ ЗА ДЕЛЕГИРАНИТЕ ОТ ДЪРЖАВАТА ДЕЙНОСТИ,</t>
  </si>
  <si>
    <t>в т.ч. за изпълнение на мерки във връзка с COVID-19 за субсидиране на пътнически превози по междуселищни автобусни линии в размер до:</t>
  </si>
  <si>
    <t>Общо отчетени разходи</t>
  </si>
  <si>
    <t>Остатък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</si>
</sst>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i/>
      <sz val="12"/>
      <name val="Times New Roman"/>
      <family val="1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4"/>
      <name val="Times New Roman CYR"/>
      <charset val="204"/>
    </font>
    <font>
      <sz val="11"/>
      <color indexed="8"/>
      <name val="Calibri"/>
      <family val="2"/>
      <charset val="204"/>
    </font>
    <font>
      <b/>
      <sz val="11"/>
      <color rgb="FFFF0000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rgb="FFFF0000"/>
      <name val="Arial"/>
      <family val="2"/>
      <charset val="204"/>
    </font>
    <font>
      <b/>
      <sz val="12"/>
      <color rgb="FF000099"/>
      <name val="Times New Roman Cyr"/>
      <family val="1"/>
      <charset val="204"/>
    </font>
    <font>
      <b/>
      <i/>
      <sz val="18"/>
      <color rgb="FF000099"/>
      <name val="Times New Roman Cyr"/>
      <charset val="204"/>
    </font>
    <font>
      <sz val="18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33" fillId="0" borderId="0"/>
    <xf numFmtId="9" fontId="36" fillId="0" borderId="0" applyFont="0" applyFill="0" applyBorder="0" applyAlignment="0" applyProtection="0"/>
    <xf numFmtId="0" fontId="1" fillId="0" borderId="0"/>
  </cellStyleXfs>
  <cellXfs count="374">
    <xf numFmtId="0" fontId="0" fillId="0" borderId="0" xfId="0"/>
    <xf numFmtId="0" fontId="10" fillId="0" borderId="1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wrapText="1"/>
    </xf>
    <xf numFmtId="0" fontId="10" fillId="0" borderId="0" xfId="1" applyFont="1" applyFill="1" applyBorder="1"/>
    <xf numFmtId="0" fontId="7" fillId="0" borderId="0" xfId="1" applyFont="1" applyFill="1" applyBorder="1"/>
    <xf numFmtId="0" fontId="7" fillId="0" borderId="1" xfId="1" applyFont="1" applyFill="1" applyBorder="1" applyAlignment="1">
      <alignment wrapText="1"/>
    </xf>
    <xf numFmtId="0" fontId="7" fillId="0" borderId="1" xfId="3" applyFont="1" applyFill="1" applyBorder="1" applyAlignment="1">
      <alignment wrapText="1"/>
    </xf>
    <xf numFmtId="3" fontId="7" fillId="0" borderId="1" xfId="3" applyNumberFormat="1" applyFont="1" applyFill="1" applyBorder="1"/>
    <xf numFmtId="0" fontId="7" fillId="0" borderId="1" xfId="2" applyFont="1" applyFill="1" applyBorder="1" applyAlignment="1">
      <alignment wrapText="1"/>
    </xf>
    <xf numFmtId="0" fontId="7" fillId="0" borderId="1" xfId="4" applyFont="1" applyFill="1" applyBorder="1" applyAlignment="1">
      <alignment vertical="center" wrapText="1"/>
    </xf>
    <xf numFmtId="0" fontId="7" fillId="0" borderId="3" xfId="4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10" fillId="0" borderId="0" xfId="0" applyFont="1" applyFill="1"/>
    <xf numFmtId="0" fontId="7" fillId="0" borderId="0" xfId="5" applyFont="1" applyFill="1" applyAlignment="1"/>
    <xf numFmtId="0" fontId="12" fillId="0" borderId="0" xfId="0" applyFont="1" applyFill="1"/>
    <xf numFmtId="0" fontId="7" fillId="0" borderId="0" xfId="0" applyFont="1" applyFill="1"/>
    <xf numFmtId="0" fontId="15" fillId="0" borderId="0" xfId="0" applyFont="1" applyFill="1"/>
    <xf numFmtId="0" fontId="16" fillId="0" borderId="0" xfId="0" applyFont="1" applyFill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/>
    <xf numFmtId="0" fontId="7" fillId="0" borderId="0" xfId="0" applyFont="1" applyFill="1" applyBorder="1"/>
    <xf numFmtId="49" fontId="10" fillId="0" borderId="0" xfId="0" applyNumberFormat="1" applyFont="1" applyFill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0" fillId="0" borderId="0" xfId="0" applyFont="1" applyFill="1" applyBorder="1"/>
    <xf numFmtId="49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3" fontId="10" fillId="0" borderId="4" xfId="0" applyNumberFormat="1" applyFont="1" applyFill="1" applyBorder="1"/>
    <xf numFmtId="0" fontId="10" fillId="0" borderId="0" xfId="0" quotePrefix="1" applyFont="1" applyFill="1" applyBorder="1"/>
    <xf numFmtId="0" fontId="10" fillId="0" borderId="5" xfId="0" applyFont="1" applyFill="1" applyBorder="1"/>
    <xf numFmtId="49" fontId="10" fillId="0" borderId="5" xfId="0" applyNumberFormat="1" applyFont="1" applyFill="1" applyBorder="1" applyAlignment="1">
      <alignment horizontal="center"/>
    </xf>
    <xf numFmtId="0" fontId="10" fillId="0" borderId="3" xfId="0" applyFont="1" applyFill="1" applyBorder="1"/>
    <xf numFmtId="49" fontId="10" fillId="0" borderId="3" xfId="0" applyNumberFormat="1" applyFont="1" applyFill="1" applyBorder="1" applyAlignment="1">
      <alignment horizontal="center"/>
    </xf>
    <xf numFmtId="0" fontId="10" fillId="0" borderId="6" xfId="0" applyFont="1" applyFill="1" applyBorder="1"/>
    <xf numFmtId="49" fontId="10" fillId="0" borderId="6" xfId="0" applyNumberFormat="1" applyFont="1" applyFill="1" applyBorder="1" applyAlignment="1">
      <alignment horizontal="center"/>
    </xf>
    <xf numFmtId="0" fontId="10" fillId="0" borderId="0" xfId="2" applyFont="1" applyFill="1" applyBorder="1"/>
    <xf numFmtId="0" fontId="10" fillId="0" borderId="0" xfId="2" applyNumberFormat="1" applyFont="1" applyFill="1" applyBorder="1"/>
    <xf numFmtId="0" fontId="7" fillId="0" borderId="0" xfId="2" applyFont="1" applyFill="1" applyBorder="1"/>
    <xf numFmtId="0" fontId="10" fillId="0" borderId="6" xfId="0" applyFont="1" applyFill="1" applyBorder="1" applyAlignment="1">
      <alignment horizontal="center"/>
    </xf>
    <xf numFmtId="3" fontId="10" fillId="0" borderId="6" xfId="0" applyNumberFormat="1" applyFont="1" applyFill="1" applyBorder="1"/>
    <xf numFmtId="0" fontId="16" fillId="0" borderId="6" xfId="0" applyFont="1" applyFill="1" applyBorder="1"/>
    <xf numFmtId="0" fontId="10" fillId="0" borderId="6" xfId="0" applyNumberFormat="1" applyFont="1" applyFill="1" applyBorder="1"/>
    <xf numFmtId="0" fontId="10" fillId="0" borderId="0" xfId="0" applyNumberFormat="1" applyFont="1" applyFill="1" applyBorder="1"/>
    <xf numFmtId="0" fontId="16" fillId="0" borderId="0" xfId="5" applyFont="1" applyFill="1"/>
    <xf numFmtId="0" fontId="7" fillId="0" borderId="0" xfId="5" applyFont="1" applyFill="1"/>
    <xf numFmtId="0" fontId="10" fillId="0" borderId="0" xfId="5" applyFont="1" applyFill="1"/>
    <xf numFmtId="164" fontId="10" fillId="0" borderId="0" xfId="5" applyNumberFormat="1" applyFont="1" applyFill="1"/>
    <xf numFmtId="164" fontId="7" fillId="0" borderId="0" xfId="5" applyNumberFormat="1" applyFont="1" applyFill="1"/>
    <xf numFmtId="0" fontId="10" fillId="0" borderId="6" xfId="5" applyFont="1" applyFill="1" applyBorder="1"/>
    <xf numFmtId="0" fontId="7" fillId="0" borderId="6" xfId="0" applyFont="1" applyFill="1" applyBorder="1"/>
    <xf numFmtId="0" fontId="10" fillId="0" borderId="0" xfId="5" applyFont="1" applyFill="1" applyBorder="1"/>
    <xf numFmtId="0" fontId="16" fillId="0" borderId="3" xfId="5" applyFont="1" applyFill="1" applyBorder="1"/>
    <xf numFmtId="0" fontId="7" fillId="0" borderId="3" xfId="0" applyFont="1" applyFill="1" applyBorder="1"/>
    <xf numFmtId="0" fontId="10" fillId="0" borderId="3" xfId="5" applyFont="1" applyFill="1" applyBorder="1"/>
    <xf numFmtId="0" fontId="16" fillId="0" borderId="7" xfId="5" applyFont="1" applyFill="1" applyBorder="1"/>
    <xf numFmtId="0" fontId="7" fillId="0" borderId="7" xfId="0" applyFont="1" applyFill="1" applyBorder="1"/>
    <xf numFmtId="0" fontId="10" fillId="0" borderId="7" xfId="5" applyFont="1" applyFill="1" applyBorder="1"/>
    <xf numFmtId="0" fontId="7" fillId="0" borderId="0" xfId="0" applyFont="1" applyFill="1" applyAlignment="1">
      <alignment wrapText="1"/>
    </xf>
    <xf numFmtId="0" fontId="17" fillId="0" borderId="0" xfId="0" applyFont="1" applyFill="1"/>
    <xf numFmtId="0" fontId="18" fillId="0" borderId="0" xfId="0" applyFont="1" applyFill="1"/>
    <xf numFmtId="0" fontId="7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3" fontId="7" fillId="0" borderId="0" xfId="5" applyNumberFormat="1" applyFont="1" applyFill="1"/>
    <xf numFmtId="0" fontId="10" fillId="0" borderId="0" xfId="5" applyFont="1" applyFill="1" applyAlignment="1">
      <alignment horizontal="left"/>
    </xf>
    <xf numFmtId="0" fontId="10" fillId="0" borderId="0" xfId="5" applyFont="1" applyFill="1" applyAlignment="1">
      <alignment horizontal="centerContinuous"/>
    </xf>
    <xf numFmtId="3" fontId="10" fillId="0" borderId="0" xfId="5" applyNumberFormat="1" applyFont="1" applyFill="1" applyAlignment="1">
      <alignment horizontal="centerContinuous"/>
    </xf>
    <xf numFmtId="0" fontId="17" fillId="0" borderId="0" xfId="0" applyFont="1" applyFill="1" applyAlignment="1">
      <alignment wrapText="1"/>
    </xf>
    <xf numFmtId="0" fontId="19" fillId="0" borderId="0" xfId="0" applyFont="1" applyFill="1"/>
    <xf numFmtId="0" fontId="7" fillId="0" borderId="0" xfId="0" applyNumberFormat="1" applyFont="1" applyFill="1" applyAlignment="1">
      <alignment wrapText="1"/>
    </xf>
    <xf numFmtId="0" fontId="10" fillId="0" borderId="0" xfId="2" applyFont="1" applyFill="1" applyAlignment="1"/>
    <xf numFmtId="0" fontId="12" fillId="0" borderId="0" xfId="2" applyFont="1" applyFill="1" applyAlignment="1"/>
    <xf numFmtId="0" fontId="10" fillId="0" borderId="1" xfId="1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10" fillId="0" borderId="0" xfId="5" applyFont="1" applyFill="1" applyAlignment="1"/>
    <xf numFmtId="0" fontId="10" fillId="0" borderId="0" xfId="2" applyFont="1" applyFill="1" applyBorder="1" applyAlignment="1">
      <alignment horizontal="center"/>
    </xf>
    <xf numFmtId="0" fontId="10" fillId="0" borderId="6" xfId="2" applyFont="1" applyFill="1" applyBorder="1"/>
    <xf numFmtId="0" fontId="10" fillId="0" borderId="6" xfId="2" applyFont="1" applyFill="1" applyBorder="1" applyAlignment="1">
      <alignment horizontal="center"/>
    </xf>
    <xf numFmtId="0" fontId="7" fillId="0" borderId="0" xfId="5" applyFont="1" applyFill="1" applyAlignment="1">
      <alignment wrapText="1"/>
    </xf>
    <xf numFmtId="0" fontId="10" fillId="0" borderId="0" xfId="5" applyFont="1" applyFill="1" applyAlignment="1">
      <alignment wrapText="1"/>
    </xf>
    <xf numFmtId="0" fontId="20" fillId="0" borderId="0" xfId="0" applyFont="1" applyFill="1"/>
    <xf numFmtId="0" fontId="7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0" borderId="9" xfId="0" applyFont="1" applyFill="1" applyBorder="1" applyAlignment="1">
      <alignment horizontal="centerContinuous"/>
    </xf>
    <xf numFmtId="0" fontId="20" fillId="0" borderId="5" xfId="0" applyFont="1" applyFill="1" applyBorder="1" applyAlignment="1">
      <alignment horizontal="centerContinuous"/>
    </xf>
    <xf numFmtId="0" fontId="10" fillId="0" borderId="5" xfId="0" applyFont="1" applyFill="1" applyBorder="1" applyAlignment="1">
      <alignment horizontal="centerContinuous"/>
    </xf>
    <xf numFmtId="0" fontId="10" fillId="0" borderId="10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9" xfId="0" applyFont="1" applyFill="1" applyBorder="1" applyAlignment="1"/>
    <xf numFmtId="0" fontId="15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3" fontId="7" fillId="0" borderId="1" xfId="0" applyNumberFormat="1" applyFont="1" applyFill="1" applyBorder="1" applyAlignment="1"/>
    <xf numFmtId="0" fontId="10" fillId="0" borderId="9" xfId="0" applyFont="1" applyFill="1" applyBorder="1"/>
    <xf numFmtId="0" fontId="20" fillId="0" borderId="5" xfId="0" applyFont="1" applyFill="1" applyBorder="1"/>
    <xf numFmtId="0" fontId="10" fillId="0" borderId="10" xfId="0" applyFont="1" applyFill="1" applyBorder="1"/>
    <xf numFmtId="3" fontId="10" fillId="0" borderId="1" xfId="0" applyNumberFormat="1" applyFont="1" applyFill="1" applyBorder="1" applyAlignment="1"/>
    <xf numFmtId="0" fontId="17" fillId="0" borderId="0" xfId="5" applyFont="1" applyFill="1"/>
    <xf numFmtId="0" fontId="19" fillId="0" borderId="0" xfId="5" applyFont="1" applyFill="1"/>
    <xf numFmtId="0" fontId="17" fillId="0" borderId="0" xfId="0" applyFont="1" applyFill="1" applyBorder="1"/>
    <xf numFmtId="0" fontId="21" fillId="0" borderId="0" xfId="5" applyFont="1" applyFill="1"/>
    <xf numFmtId="0" fontId="19" fillId="0" borderId="0" xfId="5" applyFont="1" applyFill="1" applyBorder="1"/>
    <xf numFmtId="0" fontId="22" fillId="0" borderId="0" xfId="0" applyFont="1" applyFill="1"/>
    <xf numFmtId="49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3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20" fillId="0" borderId="0" xfId="5" applyFont="1" applyFill="1"/>
    <xf numFmtId="164" fontId="20" fillId="0" borderId="0" xfId="5" applyNumberFormat="1" applyFont="1" applyFill="1"/>
    <xf numFmtId="0" fontId="15" fillId="0" borderId="0" xfId="5" applyFont="1" applyFill="1"/>
    <xf numFmtId="164" fontId="15" fillId="0" borderId="0" xfId="5" applyNumberFormat="1" applyFont="1" applyFill="1"/>
    <xf numFmtId="0" fontId="22" fillId="0" borderId="0" xfId="5" applyFont="1" applyFill="1"/>
    <xf numFmtId="0" fontId="20" fillId="0" borderId="6" xfId="5" applyFont="1" applyFill="1" applyBorder="1"/>
    <xf numFmtId="0" fontId="15" fillId="0" borderId="6" xfId="0" applyFont="1" applyFill="1" applyBorder="1"/>
    <xf numFmtId="164" fontId="20" fillId="0" borderId="6" xfId="5" applyNumberFormat="1" applyFont="1" applyFill="1" applyBorder="1"/>
    <xf numFmtId="0" fontId="20" fillId="0" borderId="0" xfId="5" applyFont="1" applyFill="1" applyBorder="1"/>
    <xf numFmtId="0" fontId="15" fillId="0" borderId="8" xfId="0" applyFont="1" applyFill="1" applyBorder="1"/>
    <xf numFmtId="164" fontId="20" fillId="0" borderId="0" xfId="5" applyNumberFormat="1" applyFont="1" applyFill="1" applyBorder="1"/>
    <xf numFmtId="0" fontId="20" fillId="0" borderId="3" xfId="5" applyFont="1" applyFill="1" applyBorder="1"/>
    <xf numFmtId="0" fontId="15" fillId="0" borderId="3" xfId="0" applyFont="1" applyFill="1" applyBorder="1"/>
    <xf numFmtId="0" fontId="20" fillId="0" borderId="7" xfId="5" applyFont="1" applyFill="1" applyBorder="1"/>
    <xf numFmtId="0" fontId="15" fillId="0" borderId="7" xfId="0" applyFont="1" applyFill="1" applyBorder="1"/>
    <xf numFmtId="164" fontId="20" fillId="0" borderId="7" xfId="5" applyNumberFormat="1" applyFont="1" applyFill="1" applyBorder="1"/>
    <xf numFmtId="0" fontId="23" fillId="0" borderId="0" xfId="0" applyFont="1" applyFill="1"/>
    <xf numFmtId="3" fontId="15" fillId="0" borderId="4" xfId="0" applyNumberFormat="1" applyFont="1" applyFill="1" applyBorder="1" applyAlignment="1"/>
    <xf numFmtId="3" fontId="15" fillId="0" borderId="0" xfId="0" applyNumberFormat="1" applyFont="1" applyFill="1" applyBorder="1" applyAlignment="1"/>
    <xf numFmtId="3" fontId="20" fillId="0" borderId="4" xfId="0" applyNumberFormat="1" applyFont="1" applyFill="1" applyBorder="1" applyAlignment="1"/>
    <xf numFmtId="49" fontId="20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/>
    </xf>
    <xf numFmtId="3" fontId="15" fillId="0" borderId="4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right"/>
    </xf>
    <xf numFmtId="0" fontId="20" fillId="0" borderId="4" xfId="0" applyFont="1" applyFill="1" applyBorder="1" applyAlignment="1">
      <alignment horizontal="center"/>
    </xf>
    <xf numFmtId="3" fontId="20" fillId="0" borderId="4" xfId="0" applyNumberFormat="1" applyFont="1" applyFill="1" applyBorder="1"/>
    <xf numFmtId="49" fontId="20" fillId="0" borderId="5" xfId="0" applyNumberFormat="1" applyFont="1" applyFill="1" applyBorder="1" applyAlignment="1">
      <alignment horizontal="center"/>
    </xf>
    <xf numFmtId="3" fontId="20" fillId="0" borderId="5" xfId="0" applyNumberFormat="1" applyFont="1" applyFill="1" applyBorder="1" applyAlignment="1"/>
    <xf numFmtId="49" fontId="20" fillId="0" borderId="3" xfId="0" applyNumberFormat="1" applyFont="1" applyFill="1" applyBorder="1" applyAlignment="1">
      <alignment horizontal="center"/>
    </xf>
    <xf numFmtId="3" fontId="20" fillId="0" borderId="3" xfId="0" applyNumberFormat="1" applyFont="1" applyFill="1" applyBorder="1" applyAlignment="1"/>
    <xf numFmtId="49" fontId="20" fillId="0" borderId="6" xfId="0" applyNumberFormat="1" applyFont="1" applyFill="1" applyBorder="1" applyAlignment="1">
      <alignment horizontal="center"/>
    </xf>
    <xf numFmtId="3" fontId="20" fillId="0" borderId="6" xfId="0" applyNumberFormat="1" applyFont="1" applyFill="1" applyBorder="1" applyAlignment="1"/>
    <xf numFmtId="3" fontId="20" fillId="0" borderId="0" xfId="0" applyNumberFormat="1" applyFont="1" applyFill="1" applyBorder="1" applyAlignment="1"/>
    <xf numFmtId="0" fontId="15" fillId="0" borderId="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3" fontId="20" fillId="0" borderId="6" xfId="0" applyNumberFormat="1" applyFont="1" applyFill="1" applyBorder="1"/>
    <xf numFmtId="0" fontId="20" fillId="0" borderId="3" xfId="0" applyFont="1" applyFill="1" applyBorder="1" applyAlignment="1">
      <alignment horizontal="center"/>
    </xf>
    <xf numFmtId="3" fontId="20" fillId="0" borderId="3" xfId="0" applyNumberFormat="1" applyFont="1" applyFill="1" applyBorder="1"/>
    <xf numFmtId="0" fontId="15" fillId="0" borderId="5" xfId="0" applyFont="1" applyFill="1" applyBorder="1" applyAlignment="1">
      <alignment horizontal="center"/>
    </xf>
    <xf numFmtId="3" fontId="15" fillId="0" borderId="5" xfId="0" applyNumberFormat="1" applyFont="1" applyFill="1" applyBorder="1" applyAlignment="1"/>
    <xf numFmtId="3" fontId="15" fillId="0" borderId="0" xfId="0" applyNumberFormat="1" applyFont="1" applyFill="1" applyBorder="1" applyAlignment="1">
      <alignment horizontal="right" vertical="center"/>
    </xf>
    <xf numFmtId="3" fontId="15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/>
    </xf>
    <xf numFmtId="3" fontId="15" fillId="0" borderId="3" xfId="0" applyNumberFormat="1" applyFont="1" applyFill="1" applyBorder="1" applyAlignment="1"/>
    <xf numFmtId="0" fontId="16" fillId="0" borderId="7" xfId="0" applyFont="1" applyFill="1" applyBorder="1"/>
    <xf numFmtId="0" fontId="10" fillId="0" borderId="7" xfId="0" applyFont="1" applyFill="1" applyBorder="1"/>
    <xf numFmtId="0" fontId="10" fillId="0" borderId="7" xfId="0" applyNumberFormat="1" applyFont="1" applyFill="1" applyBorder="1"/>
    <xf numFmtId="0" fontId="20" fillId="0" borderId="7" xfId="0" applyFont="1" applyFill="1" applyBorder="1" applyAlignment="1">
      <alignment horizontal="center"/>
    </xf>
    <xf numFmtId="3" fontId="20" fillId="0" borderId="7" xfId="0" applyNumberFormat="1" applyFont="1" applyFill="1" applyBorder="1" applyAlignment="1"/>
    <xf numFmtId="0" fontId="10" fillId="0" borderId="0" xfId="12" applyFont="1" applyFill="1" applyProtection="1">
      <protection locked="0"/>
    </xf>
    <xf numFmtId="0" fontId="7" fillId="0" borderId="0" xfId="12" applyFont="1" applyFill="1" applyAlignment="1" applyProtection="1">
      <alignment wrapText="1"/>
      <protection locked="0"/>
    </xf>
    <xf numFmtId="0" fontId="10" fillId="0" borderId="0" xfId="12" applyFont="1" applyFill="1" applyAlignment="1" applyProtection="1">
      <alignment horizontal="right"/>
      <protection locked="0"/>
    </xf>
    <xf numFmtId="0" fontId="7" fillId="0" borderId="0" xfId="12" applyFont="1" applyFill="1"/>
    <xf numFmtId="0" fontId="7" fillId="0" borderId="0" xfId="12" applyFont="1" applyFill="1" applyProtection="1">
      <protection locked="0"/>
    </xf>
    <xf numFmtId="0" fontId="7" fillId="0" borderId="0" xfId="12" applyFont="1" applyFill="1" applyAlignment="1" applyProtection="1">
      <protection locked="0"/>
    </xf>
    <xf numFmtId="0" fontId="7" fillId="0" borderId="9" xfId="12" applyFont="1" applyFill="1" applyBorder="1" applyAlignment="1" applyProtection="1">
      <protection locked="0"/>
    </xf>
    <xf numFmtId="0" fontId="7" fillId="0" borderId="5" xfId="12" applyFont="1" applyFill="1" applyBorder="1" applyAlignment="1" applyProtection="1">
      <alignment wrapText="1"/>
      <protection locked="0"/>
    </xf>
    <xf numFmtId="0" fontId="7" fillId="0" borderId="10" xfId="12" applyFont="1" applyFill="1" applyBorder="1" applyAlignment="1" applyProtection="1">
      <alignment horizontal="right"/>
      <protection locked="0"/>
    </xf>
    <xf numFmtId="0" fontId="7" fillId="0" borderId="1" xfId="12" applyFont="1" applyFill="1" applyBorder="1" applyAlignment="1" applyProtection="1">
      <alignment horizontal="centerContinuous" vertical="center" wrapText="1"/>
      <protection locked="0"/>
    </xf>
    <xf numFmtId="3" fontId="20" fillId="0" borderId="1" xfId="12" applyNumberFormat="1" applyFont="1" applyFill="1" applyBorder="1" applyAlignment="1" applyProtection="1">
      <alignment vertical="center" wrapText="1"/>
      <protection locked="0"/>
    </xf>
    <xf numFmtId="0" fontId="10" fillId="0" borderId="0" xfId="12" applyFont="1" applyFill="1"/>
    <xf numFmtId="3" fontId="10" fillId="0" borderId="1" xfId="12" applyNumberFormat="1" applyFont="1" applyFill="1" applyBorder="1" applyAlignment="1" applyProtection="1">
      <alignment wrapText="1"/>
      <protection locked="0"/>
    </xf>
    <xf numFmtId="3" fontId="10" fillId="0" borderId="1" xfId="12" applyNumberFormat="1" applyFont="1" applyFill="1" applyBorder="1" applyAlignment="1" applyProtection="1"/>
    <xf numFmtId="3" fontId="20" fillId="0" borderId="1" xfId="12" applyNumberFormat="1" applyFont="1" applyFill="1" applyBorder="1" applyAlignment="1" applyProtection="1">
      <alignment wrapText="1"/>
      <protection locked="0"/>
    </xf>
    <xf numFmtId="0" fontId="19" fillId="0" borderId="0" xfId="12" applyFont="1" applyFill="1"/>
    <xf numFmtId="3" fontId="20" fillId="0" borderId="1" xfId="12" applyNumberFormat="1" applyFont="1" applyFill="1" applyBorder="1" applyAlignment="1" applyProtection="1"/>
    <xf numFmtId="0" fontId="15" fillId="0" borderId="1" xfId="12" applyFont="1" applyFill="1" applyBorder="1" applyAlignment="1" applyProtection="1">
      <alignment wrapText="1"/>
      <protection locked="0"/>
    </xf>
    <xf numFmtId="3" fontId="15" fillId="0" borderId="1" xfId="12" applyNumberFormat="1" applyFont="1" applyFill="1" applyBorder="1" applyAlignment="1" applyProtection="1">
      <alignment wrapText="1"/>
      <protection locked="0"/>
    </xf>
    <xf numFmtId="0" fontId="17" fillId="0" borderId="0" xfId="12" applyFont="1" applyFill="1"/>
    <xf numFmtId="0" fontId="7" fillId="0" borderId="1" xfId="12" applyFont="1" applyFill="1" applyBorder="1" applyAlignment="1" applyProtection="1">
      <alignment wrapText="1"/>
      <protection locked="0"/>
    </xf>
    <xf numFmtId="0" fontId="10" fillId="0" borderId="0" xfId="12" applyFont="1" applyFill="1" applyAlignment="1"/>
    <xf numFmtId="0" fontId="12" fillId="0" borderId="0" xfId="12" applyFont="1" applyFill="1" applyAlignment="1"/>
    <xf numFmtId="0" fontId="7" fillId="0" borderId="0" xfId="5" applyFont="1" applyFill="1" applyBorder="1" applyAlignment="1">
      <alignment vertical="center" wrapText="1"/>
    </xf>
    <xf numFmtId="0" fontId="7" fillId="0" borderId="0" xfId="12" applyFont="1" applyFill="1" applyBorder="1" applyAlignment="1">
      <alignment vertical="center" wrapText="1"/>
    </xf>
    <xf numFmtId="0" fontId="12" fillId="0" borderId="0" xfId="5" applyFont="1" applyFill="1" applyBorder="1" applyAlignment="1">
      <alignment vertical="center" wrapText="1"/>
    </xf>
    <xf numFmtId="0" fontId="12" fillId="0" borderId="0" xfId="12" applyFont="1" applyFill="1" applyBorder="1" applyAlignment="1">
      <alignment vertical="center" wrapText="1"/>
    </xf>
    <xf numFmtId="0" fontId="12" fillId="0" borderId="0" xfId="5" applyFont="1" applyFill="1" applyAlignment="1"/>
    <xf numFmtId="0" fontId="10" fillId="0" borderId="0" xfId="5" applyFont="1" applyFill="1" applyBorder="1" applyAlignment="1">
      <alignment vertical="center"/>
    </xf>
    <xf numFmtId="0" fontId="10" fillId="0" borderId="0" xfId="12" applyFont="1" applyFill="1" applyBorder="1" applyAlignment="1">
      <alignment vertical="center"/>
    </xf>
    <xf numFmtId="0" fontId="12" fillId="0" borderId="0" xfId="12" applyFont="1" applyFill="1" applyBorder="1" applyAlignment="1">
      <alignment vertical="center"/>
    </xf>
    <xf numFmtId="0" fontId="12" fillId="0" borderId="0" xfId="0" applyFont="1" applyFill="1" applyAlignment="1"/>
    <xf numFmtId="0" fontId="10" fillId="0" borderId="1" xfId="12" applyFont="1" applyFill="1" applyBorder="1" applyAlignment="1" applyProtection="1">
      <alignment horizontal="center" vertical="center" wrapText="1"/>
      <protection locked="0"/>
    </xf>
    <xf numFmtId="0" fontId="20" fillId="0" borderId="4" xfId="2" applyFont="1" applyFill="1" applyBorder="1" applyAlignment="1">
      <alignment horizontal="center"/>
    </xf>
    <xf numFmtId="3" fontId="20" fillId="0" borderId="4" xfId="2" applyNumberFormat="1" applyFont="1" applyFill="1" applyBorder="1"/>
    <xf numFmtId="0" fontId="15" fillId="0" borderId="0" xfId="2" applyFont="1" applyFill="1" applyBorder="1" applyAlignment="1">
      <alignment horizontal="center"/>
    </xf>
    <xf numFmtId="3" fontId="15" fillId="0" borderId="0" xfId="2" applyNumberFormat="1" applyFont="1" applyFill="1" applyBorder="1"/>
    <xf numFmtId="3" fontId="20" fillId="0" borderId="6" xfId="2" applyNumberFormat="1" applyFont="1" applyFill="1" applyBorder="1"/>
    <xf numFmtId="3" fontId="20" fillId="0" borderId="0" xfId="2" applyNumberFormat="1" applyFont="1" applyFill="1" applyBorder="1"/>
    <xf numFmtId="0" fontId="20" fillId="0" borderId="0" xfId="0" applyFont="1" applyFill="1" applyAlignment="1">
      <alignment horizontal="center"/>
    </xf>
    <xf numFmtId="3" fontId="10" fillId="0" borderId="0" xfId="0" applyNumberFormat="1" applyFont="1" applyFill="1"/>
    <xf numFmtId="3" fontId="7" fillId="0" borderId="1" xfId="12" applyNumberFormat="1" applyFont="1" applyFill="1" applyBorder="1" applyAlignment="1" applyProtection="1">
      <alignment wrapText="1"/>
      <protection locked="0"/>
    </xf>
    <xf numFmtId="0" fontId="24" fillId="0" borderId="0" xfId="0" applyFont="1" applyFill="1"/>
    <xf numFmtId="0" fontId="24" fillId="0" borderId="0" xfId="0" applyNumberFormat="1" applyFont="1" applyFill="1" applyAlignment="1"/>
    <xf numFmtId="0" fontId="37" fillId="0" borderId="0" xfId="0" applyFont="1" applyFill="1"/>
    <xf numFmtId="0" fontId="23" fillId="0" borderId="0" xfId="0" applyNumberFormat="1" applyFont="1" applyFill="1" applyAlignment="1"/>
    <xf numFmtId="0" fontId="38" fillId="0" borderId="0" xfId="0" applyFont="1" applyFill="1"/>
    <xf numFmtId="0" fontId="39" fillId="0" borderId="0" xfId="0" applyFont="1" applyFill="1"/>
    <xf numFmtId="0" fontId="10" fillId="0" borderId="1" xfId="0" applyFont="1" applyFill="1" applyBorder="1"/>
    <xf numFmtId="3" fontId="10" fillId="0" borderId="1" xfId="0" applyNumberFormat="1" applyFont="1" applyFill="1" applyBorder="1"/>
    <xf numFmtId="0" fontId="24" fillId="0" borderId="0" xfId="0" applyFont="1" applyFill="1" applyAlignment="1">
      <alignment wrapText="1"/>
    </xf>
    <xf numFmtId="0" fontId="7" fillId="0" borderId="4" xfId="2" applyFont="1" applyFill="1" applyBorder="1" applyAlignment="1">
      <alignment wrapText="1"/>
    </xf>
    <xf numFmtId="0" fontId="20" fillId="4" borderId="1" xfId="2" applyFont="1" applyFill="1" applyBorder="1" applyAlignment="1" applyProtection="1">
      <alignment wrapText="1"/>
      <protection locked="0"/>
    </xf>
    <xf numFmtId="0" fontId="15" fillId="4" borderId="1" xfId="2" applyFont="1" applyFill="1" applyBorder="1" applyAlignment="1" applyProtection="1">
      <alignment wrapText="1"/>
      <protection locked="0"/>
    </xf>
    <xf numFmtId="0" fontId="10" fillId="0" borderId="1" xfId="12" applyFont="1" applyFill="1" applyBorder="1" applyAlignment="1" applyProtection="1">
      <alignment wrapText="1"/>
      <protection locked="0"/>
    </xf>
    <xf numFmtId="0" fontId="10" fillId="0" borderId="0" xfId="12" applyFont="1" applyFill="1" applyAlignment="1" applyProtection="1">
      <alignment horizontal="center"/>
      <protection locked="0"/>
    </xf>
    <xf numFmtId="0" fontId="10" fillId="0" borderId="9" xfId="12" applyFont="1" applyFill="1" applyBorder="1" applyAlignment="1" applyProtection="1">
      <alignment horizontal="center" wrapText="1"/>
      <protection locked="0"/>
    </xf>
    <xf numFmtId="0" fontId="10" fillId="0" borderId="5" xfId="12" applyFont="1" applyFill="1" applyBorder="1" applyAlignment="1" applyProtection="1">
      <alignment horizontal="center" wrapText="1"/>
      <protection locked="0"/>
    </xf>
    <xf numFmtId="0" fontId="10" fillId="0" borderId="10" xfId="12" applyFont="1" applyFill="1" applyBorder="1" applyAlignment="1" applyProtection="1">
      <alignment horizontal="center" wrapText="1"/>
      <protection locked="0"/>
    </xf>
    <xf numFmtId="0" fontId="10" fillId="0" borderId="1" xfId="12" applyFont="1" applyFill="1" applyBorder="1" applyAlignment="1" applyProtection="1">
      <alignment horizontal="center" vertical="center" wrapText="1"/>
      <protection locked="0"/>
    </xf>
    <xf numFmtId="0" fontId="7" fillId="0" borderId="11" xfId="12" applyFont="1" applyFill="1" applyBorder="1" applyAlignment="1" applyProtection="1">
      <alignment horizontal="center" vertical="center" wrapText="1"/>
      <protection locked="0"/>
    </xf>
    <xf numFmtId="0" fontId="7" fillId="0" borderId="2" xfId="12" applyFont="1" applyFill="1" applyBorder="1" applyAlignment="1" applyProtection="1">
      <alignment horizontal="center" vertical="center" wrapText="1"/>
      <protection locked="0"/>
    </xf>
    <xf numFmtId="0" fontId="10" fillId="0" borderId="9" xfId="12" applyFont="1" applyFill="1" applyBorder="1" applyAlignment="1" applyProtection="1">
      <alignment horizontal="left" wrapText="1"/>
      <protection locked="0"/>
    </xf>
    <xf numFmtId="0" fontId="16" fillId="0" borderId="10" xfId="12" applyFont="1" applyFill="1" applyBorder="1" applyAlignment="1" applyProtection="1">
      <alignment horizontal="left" wrapText="1"/>
      <protection locked="0"/>
    </xf>
    <xf numFmtId="0" fontId="10" fillId="4" borderId="1" xfId="2" applyFont="1" applyFill="1" applyBorder="1" applyAlignment="1" applyProtection="1">
      <alignment wrapText="1"/>
      <protection locked="0"/>
    </xf>
    <xf numFmtId="0" fontId="7" fillId="4" borderId="1" xfId="2" applyFont="1" applyFill="1" applyBorder="1" applyAlignment="1" applyProtection="1">
      <alignment wrapText="1"/>
      <protection locked="0"/>
    </xf>
    <xf numFmtId="0" fontId="7" fillId="5" borderId="0" xfId="1" applyFont="1" applyFill="1" applyAlignment="1">
      <alignment wrapText="1"/>
    </xf>
    <xf numFmtId="0" fontId="7" fillId="5" borderId="0" xfId="1" applyFont="1" applyFill="1"/>
    <xf numFmtId="0" fontId="8" fillId="5" borderId="0" xfId="1" applyFont="1" applyFill="1"/>
    <xf numFmtId="0" fontId="9" fillId="5" borderId="0" xfId="1" applyFont="1" applyFill="1" applyAlignment="1">
      <alignment horizontal="right"/>
    </xf>
    <xf numFmtId="0" fontId="10" fillId="5" borderId="0" xfId="1" applyFont="1" applyFill="1"/>
    <xf numFmtId="0" fontId="10" fillId="5" borderId="0" xfId="1" applyFont="1" applyFill="1" applyAlignment="1">
      <alignment horizontal="centerContinuous"/>
    </xf>
    <xf numFmtId="0" fontId="10" fillId="5" borderId="0" xfId="1" applyNumberFormat="1" applyFont="1" applyFill="1" applyAlignment="1">
      <alignment horizontal="centerContinuous"/>
    </xf>
    <xf numFmtId="0" fontId="10" fillId="5" borderId="1" xfId="2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wrapText="1"/>
    </xf>
    <xf numFmtId="3" fontId="10" fillId="5" borderId="1" xfId="1" applyNumberFormat="1" applyFont="1" applyFill="1" applyBorder="1" applyAlignment="1">
      <alignment horizontal="center" wrapText="1"/>
    </xf>
    <xf numFmtId="0" fontId="7" fillId="5" borderId="0" xfId="1" applyFont="1" applyFill="1" applyBorder="1" applyAlignment="1">
      <alignment wrapText="1"/>
    </xf>
    <xf numFmtId="0" fontId="10" fillId="5" borderId="2" xfId="2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wrapText="1"/>
    </xf>
    <xf numFmtId="3" fontId="10" fillId="5" borderId="2" xfId="3" applyNumberFormat="1" applyFont="1" applyFill="1" applyBorder="1" applyAlignment="1">
      <alignment horizontal="center" wrapText="1"/>
    </xf>
    <xf numFmtId="3" fontId="10" fillId="5" borderId="2" xfId="3" applyNumberFormat="1" applyFont="1" applyFill="1" applyBorder="1"/>
    <xf numFmtId="0" fontId="10" fillId="5" borderId="0" xfId="1" applyFont="1" applyFill="1" applyBorder="1"/>
    <xf numFmtId="0" fontId="10" fillId="5" borderId="1" xfId="3" applyFont="1" applyFill="1" applyBorder="1" applyAlignment="1">
      <alignment wrapText="1"/>
    </xf>
    <xf numFmtId="3" fontId="10" fillId="5" borderId="1" xfId="3" applyNumberFormat="1" applyFont="1" applyFill="1" applyBorder="1"/>
    <xf numFmtId="0" fontId="7" fillId="5" borderId="0" xfId="1" applyFont="1" applyFill="1" applyBorder="1"/>
    <xf numFmtId="3" fontId="10" fillId="5" borderId="1" xfId="3" applyNumberFormat="1" applyFont="1" applyFill="1" applyBorder="1" applyAlignment="1"/>
    <xf numFmtId="0" fontId="7" fillId="5" borderId="1" xfId="1" applyFont="1" applyFill="1" applyBorder="1" applyAlignment="1">
      <alignment wrapText="1"/>
    </xf>
    <xf numFmtId="3" fontId="7" fillId="5" borderId="1" xfId="3" applyNumberFormat="1" applyFont="1" applyFill="1" applyBorder="1" applyAlignment="1"/>
    <xf numFmtId="0" fontId="10" fillId="5" borderId="1" xfId="1" applyFont="1" applyFill="1" applyBorder="1" applyAlignment="1">
      <alignment wrapText="1"/>
    </xf>
    <xf numFmtId="0" fontId="7" fillId="5" borderId="1" xfId="3" applyFont="1" applyFill="1" applyBorder="1" applyAlignment="1">
      <alignment wrapText="1"/>
    </xf>
    <xf numFmtId="3" fontId="7" fillId="5" borderId="1" xfId="3" applyNumberFormat="1" applyFont="1" applyFill="1" applyBorder="1"/>
    <xf numFmtId="0" fontId="7" fillId="5" borderId="1" xfId="2" applyFont="1" applyFill="1" applyBorder="1" applyAlignment="1">
      <alignment horizontal="left" wrapText="1"/>
    </xf>
    <xf numFmtId="0" fontId="7" fillId="5" borderId="1" xfId="2" applyFont="1" applyFill="1" applyBorder="1" applyAlignment="1">
      <alignment wrapText="1"/>
    </xf>
    <xf numFmtId="3" fontId="7" fillId="5" borderId="1" xfId="3" applyNumberFormat="1" applyFont="1" applyFill="1" applyBorder="1" applyAlignment="1">
      <alignment horizontal="right"/>
    </xf>
    <xf numFmtId="0" fontId="7" fillId="5" borderId="1" xfId="4" applyFont="1" applyFill="1" applyBorder="1" applyAlignment="1">
      <alignment vertical="center" wrapText="1"/>
    </xf>
    <xf numFmtId="0" fontId="7" fillId="5" borderId="3" xfId="4" applyFont="1" applyFill="1" applyBorder="1" applyAlignment="1">
      <alignment vertical="center" wrapText="1"/>
    </xf>
    <xf numFmtId="0" fontId="10" fillId="5" borderId="1" xfId="3" applyFont="1" applyFill="1" applyBorder="1" applyAlignment="1">
      <alignment horizontal="left" wrapText="1"/>
    </xf>
    <xf numFmtId="0" fontId="7" fillId="5" borderId="1" xfId="3" applyFont="1" applyFill="1" applyBorder="1" applyAlignment="1">
      <alignment horizontal="left" wrapText="1"/>
    </xf>
    <xf numFmtId="0" fontId="7" fillId="5" borderId="1" xfId="0" applyFont="1" applyFill="1" applyBorder="1" applyAlignment="1">
      <alignment wrapText="1"/>
    </xf>
    <xf numFmtId="3" fontId="7" fillId="5" borderId="1" xfId="0" applyNumberFormat="1" applyFont="1" applyFill="1" applyBorder="1"/>
    <xf numFmtId="0" fontId="10" fillId="5" borderId="1" xfId="2" applyFont="1" applyFill="1" applyBorder="1" applyAlignment="1">
      <alignment wrapText="1"/>
    </xf>
    <xf numFmtId="0" fontId="10" fillId="5" borderId="0" xfId="0" applyFont="1" applyFill="1"/>
    <xf numFmtId="0" fontId="7" fillId="5" borderId="0" xfId="5" applyFont="1" applyFill="1" applyAlignment="1"/>
    <xf numFmtId="0" fontId="12" fillId="5" borderId="0" xfId="0" applyFont="1" applyFill="1"/>
    <xf numFmtId="0" fontId="7" fillId="5" borderId="0" xfId="6" applyFont="1" applyFill="1" applyAlignment="1"/>
    <xf numFmtId="0" fontId="7" fillId="5" borderId="0" xfId="0" applyFont="1" applyFill="1"/>
    <xf numFmtId="0" fontId="10" fillId="5" borderId="0" xfId="6" applyFont="1" applyFill="1" applyBorder="1" applyAlignment="1"/>
    <xf numFmtId="0" fontId="12" fillId="5" borderId="0" xfId="1" applyFont="1" applyFill="1" applyAlignment="1"/>
    <xf numFmtId="0" fontId="7" fillId="5" borderId="0" xfId="1" applyFont="1" applyFill="1" applyAlignment="1"/>
    <xf numFmtId="0" fontId="12" fillId="0" borderId="0" xfId="2" applyFont="1" applyFill="1" applyAlignment="1">
      <alignment horizontal="center"/>
    </xf>
    <xf numFmtId="0" fontId="12" fillId="0" borderId="0" xfId="2" applyFont="1" applyFill="1"/>
    <xf numFmtId="0" fontId="10" fillId="0" borderId="0" xfId="2" applyFont="1" applyFill="1" applyAlignment="1">
      <alignment horizontal="center"/>
    </xf>
    <xf numFmtId="0" fontId="10" fillId="0" borderId="0" xfId="2" applyFont="1" applyFill="1" applyAlignment="1">
      <alignment horizontal="right"/>
    </xf>
    <xf numFmtId="0" fontId="10" fillId="0" borderId="0" xfId="2" applyFont="1" applyFill="1" applyAlignment="1">
      <alignment horizontal="center"/>
    </xf>
    <xf numFmtId="0" fontId="7" fillId="0" borderId="0" xfId="2" applyFont="1" applyFill="1" applyBorder="1" applyAlignment="1">
      <alignment vertical="center" wrapText="1"/>
    </xf>
    <xf numFmtId="0" fontId="10" fillId="0" borderId="0" xfId="7" applyFont="1" applyFill="1" applyAlignment="1">
      <alignment horizontal="center"/>
    </xf>
    <xf numFmtId="0" fontId="7" fillId="0" borderId="0" xfId="7" applyFont="1" applyFill="1"/>
    <xf numFmtId="0" fontId="10" fillId="0" borderId="0" xfId="7" applyFont="1" applyFill="1" applyAlignment="1">
      <alignment horizontal="center"/>
    </xf>
    <xf numFmtId="0" fontId="7" fillId="0" borderId="0" xfId="7" applyFont="1" applyFill="1" applyAlignment="1">
      <alignment horizontal="centerContinuous"/>
    </xf>
    <xf numFmtId="3" fontId="7" fillId="0" borderId="0" xfId="7" applyNumberFormat="1" applyFont="1" applyFill="1" applyAlignment="1">
      <alignment horizontal="centerContinuous"/>
    </xf>
    <xf numFmtId="3" fontId="10" fillId="0" borderId="0" xfId="7" applyNumberFormat="1" applyFont="1" applyFill="1" applyAlignment="1">
      <alignment horizontal="centerContinuous"/>
    </xf>
    <xf numFmtId="0" fontId="10" fillId="0" borderId="0" xfId="7" applyFont="1" applyFill="1" applyAlignment="1"/>
    <xf numFmtId="0" fontId="7" fillId="0" borderId="0" xfId="7" applyFont="1" applyFill="1" applyAlignment="1">
      <alignment horizontal="center"/>
    </xf>
    <xf numFmtId="3" fontId="10" fillId="0" borderId="0" xfId="7" applyNumberFormat="1" applyFont="1" applyFill="1" applyBorder="1" applyAlignment="1">
      <alignment horizontal="center" wrapText="1"/>
    </xf>
    <xf numFmtId="0" fontId="10" fillId="0" borderId="1" xfId="7" applyFont="1" applyFill="1" applyBorder="1" applyAlignment="1">
      <alignment horizontal="center" wrapText="1"/>
    </xf>
    <xf numFmtId="3" fontId="10" fillId="0" borderId="9" xfId="7" applyNumberFormat="1" applyFont="1" applyFill="1" applyBorder="1" applyAlignment="1">
      <alignment horizontal="center" wrapText="1"/>
    </xf>
    <xf numFmtId="3" fontId="10" fillId="0" borderId="10" xfId="7" applyNumberFormat="1" applyFont="1" applyFill="1" applyBorder="1" applyAlignment="1">
      <alignment horizontal="center" wrapText="1"/>
    </xf>
    <xf numFmtId="0" fontId="10" fillId="0" borderId="0" xfId="7" applyFont="1" applyFill="1" applyAlignment="1">
      <alignment horizontal="center" wrapText="1"/>
    </xf>
    <xf numFmtId="0" fontId="10" fillId="0" borderId="1" xfId="7" applyFont="1" applyFill="1" applyBorder="1" applyAlignment="1">
      <alignment horizontal="center"/>
    </xf>
    <xf numFmtId="0" fontId="10" fillId="0" borderId="1" xfId="7" applyFont="1" applyFill="1" applyBorder="1"/>
    <xf numFmtId="3" fontId="10" fillId="0" borderId="1" xfId="7" applyNumberFormat="1" applyFont="1" applyFill="1" applyBorder="1" applyAlignment="1">
      <alignment horizontal="center" wrapText="1"/>
    </xf>
    <xf numFmtId="0" fontId="10" fillId="0" borderId="0" xfId="7" applyFont="1" applyFill="1"/>
    <xf numFmtId="0" fontId="7" fillId="0" borderId="1" xfId="7" applyFont="1" applyFill="1" applyBorder="1" applyAlignment="1">
      <alignment horizontal="center"/>
    </xf>
    <xf numFmtId="0" fontId="7" fillId="0" borderId="1" xfId="7" applyFont="1" applyFill="1" applyBorder="1"/>
    <xf numFmtId="3" fontId="7" fillId="0" borderId="1" xfId="7" applyNumberFormat="1" applyFont="1" applyFill="1" applyBorder="1"/>
    <xf numFmtId="3" fontId="10" fillId="0" borderId="1" xfId="7" applyNumberFormat="1" applyFont="1" applyFill="1" applyBorder="1"/>
    <xf numFmtId="0" fontId="10" fillId="2" borderId="1" xfId="7" applyFont="1" applyFill="1" applyBorder="1" applyAlignment="1">
      <alignment horizontal="center"/>
    </xf>
    <xf numFmtId="0" fontId="10" fillId="2" borderId="1" xfId="7" applyFont="1" applyFill="1" applyBorder="1"/>
    <xf numFmtId="3" fontId="10" fillId="2" borderId="1" xfId="7" applyNumberFormat="1" applyFont="1" applyFill="1" applyBorder="1"/>
    <xf numFmtId="3" fontId="7" fillId="0" borderId="0" xfId="7" applyNumberFormat="1" applyFont="1" applyFill="1"/>
    <xf numFmtId="4" fontId="7" fillId="0" borderId="0" xfId="7" applyNumberFormat="1" applyFont="1" applyFill="1"/>
    <xf numFmtId="0" fontId="12" fillId="0" borderId="0" xfId="10" applyFont="1" applyFill="1"/>
    <xf numFmtId="0" fontId="12" fillId="0" borderId="0" xfId="10" applyFont="1" applyFill="1" applyBorder="1" applyAlignment="1">
      <alignment vertical="center" wrapText="1"/>
    </xf>
    <xf numFmtId="0" fontId="12" fillId="0" borderId="0" xfId="10" applyFont="1" applyFill="1" applyAlignment="1">
      <alignment horizontal="left"/>
    </xf>
    <xf numFmtId="0" fontId="7" fillId="0" borderId="0" xfId="10" applyFont="1" applyFill="1" applyAlignment="1"/>
    <xf numFmtId="0" fontId="7" fillId="0" borderId="0" xfId="10" applyFont="1" applyFill="1" applyAlignment="1">
      <alignment horizontal="left"/>
    </xf>
    <xf numFmtId="0" fontId="7" fillId="0" borderId="0" xfId="2" applyFont="1" applyFill="1" applyAlignment="1"/>
    <xf numFmtId="0" fontId="7" fillId="0" borderId="0" xfId="10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16" fillId="0" borderId="0" xfId="5" applyFont="1" applyFill="1" applyBorder="1"/>
    <xf numFmtId="0" fontId="29" fillId="0" borderId="0" xfId="17" applyFont="1" applyFill="1"/>
    <xf numFmtId="0" fontId="26" fillId="0" borderId="0" xfId="17" applyFont="1" applyFill="1"/>
    <xf numFmtId="0" fontId="27" fillId="0" borderId="0" xfId="17" applyFont="1" applyFill="1"/>
    <xf numFmtId="0" fontId="28" fillId="0" borderId="0" xfId="17" applyFont="1" applyFill="1"/>
    <xf numFmtId="0" fontId="32" fillId="0" borderId="0" xfId="17" applyFont="1" applyFill="1"/>
    <xf numFmtId="0" fontId="31" fillId="0" borderId="0" xfId="17" applyFont="1" applyFill="1"/>
    <xf numFmtId="0" fontId="30" fillId="0" borderId="0" xfId="17" applyFont="1" applyFill="1"/>
    <xf numFmtId="0" fontId="40" fillId="6" borderId="9" xfId="14" applyFont="1" applyFill="1" applyBorder="1" applyAlignment="1" applyProtection="1">
      <alignment horizontal="center" vertical="center" wrapText="1"/>
    </xf>
    <xf numFmtId="0" fontId="40" fillId="6" borderId="5" xfId="14" applyFont="1" applyFill="1" applyBorder="1" applyAlignment="1" applyProtection="1">
      <alignment horizontal="center" vertical="center" wrapText="1"/>
    </xf>
    <xf numFmtId="0" fontId="40" fillId="6" borderId="10" xfId="14" applyFont="1" applyFill="1" applyBorder="1" applyAlignment="1" applyProtection="1">
      <alignment horizontal="center" vertical="center" wrapText="1"/>
    </xf>
    <xf numFmtId="0" fontId="10" fillId="0" borderId="0" xfId="17" applyFont="1" applyFill="1" applyAlignment="1">
      <alignment horizontal="centerContinuous"/>
    </xf>
    <xf numFmtId="0" fontId="7" fillId="0" borderId="0" xfId="17" applyFont="1" applyFill="1"/>
    <xf numFmtId="0" fontId="17" fillId="0" borderId="0" xfId="17" applyFont="1" applyFill="1"/>
    <xf numFmtId="0" fontId="40" fillId="6" borderId="1" xfId="14" applyFont="1" applyFill="1" applyBorder="1" applyAlignment="1" applyProtection="1">
      <alignment horizontal="center" vertical="center" wrapText="1"/>
    </xf>
    <xf numFmtId="0" fontId="0" fillId="0" borderId="0" xfId="0" applyBorder="1"/>
    <xf numFmtId="0" fontId="15" fillId="0" borderId="0" xfId="17" applyFont="1" applyFill="1"/>
    <xf numFmtId="0" fontId="10" fillId="0" borderId="0" xfId="17" applyFont="1" applyFill="1"/>
    <xf numFmtId="3" fontId="41" fillId="6" borderId="9" xfId="14" applyNumberFormat="1" applyFont="1" applyFill="1" applyBorder="1" applyAlignment="1" applyProtection="1">
      <alignment horizontal="center" vertical="center"/>
      <protection locked="0"/>
    </xf>
    <xf numFmtId="3" fontId="41" fillId="6" borderId="10" xfId="14" applyNumberFormat="1" applyFont="1" applyFill="1" applyBorder="1" applyAlignment="1" applyProtection="1">
      <alignment horizontal="center" vertical="center"/>
      <protection locked="0"/>
    </xf>
    <xf numFmtId="3" fontId="41" fillId="6" borderId="1" xfId="14" applyNumberFormat="1" applyFont="1" applyFill="1" applyBorder="1" applyAlignment="1" applyProtection="1">
      <alignment horizontal="center" vertical="center"/>
      <protection locked="0"/>
    </xf>
    <xf numFmtId="0" fontId="40" fillId="0" borderId="0" xfId="14" applyFont="1" applyFill="1" applyBorder="1" applyAlignment="1" applyProtection="1">
      <alignment horizontal="center" vertical="center" wrapText="1"/>
    </xf>
    <xf numFmtId="0" fontId="42" fillId="0" borderId="1" xfId="17" applyFont="1" applyFill="1" applyBorder="1" applyAlignment="1">
      <alignment horizontal="center"/>
    </xf>
    <xf numFmtId="3" fontId="42" fillId="0" borderId="9" xfId="17" applyNumberFormat="1" applyFont="1" applyFill="1" applyBorder="1" applyAlignment="1">
      <alignment horizontal="center"/>
    </xf>
    <xf numFmtId="3" fontId="42" fillId="0" borderId="10" xfId="17" applyNumberFormat="1" applyFont="1" applyFill="1" applyBorder="1" applyAlignment="1">
      <alignment horizontal="center"/>
    </xf>
    <xf numFmtId="0" fontId="42" fillId="0" borderId="1" xfId="17" applyFont="1" applyFill="1" applyBorder="1" applyAlignment="1">
      <alignment horizontal="center" vertical="top"/>
    </xf>
    <xf numFmtId="3" fontId="42" fillId="0" borderId="1" xfId="17" applyNumberFormat="1" applyFont="1" applyFill="1" applyBorder="1" applyAlignment="1">
      <alignment horizontal="center"/>
    </xf>
    <xf numFmtId="49" fontId="20" fillId="0" borderId="1" xfId="17" applyNumberFormat="1" applyFont="1" applyFill="1" applyBorder="1" applyAlignment="1">
      <alignment vertical="center" wrapText="1"/>
    </xf>
    <xf numFmtId="49" fontId="10" fillId="0" borderId="9" xfId="17" applyNumberFormat="1" applyFont="1" applyFill="1" applyBorder="1" applyAlignment="1">
      <alignment vertical="center" wrapText="1"/>
    </xf>
    <xf numFmtId="0" fontId="10" fillId="0" borderId="9" xfId="17" applyFont="1" applyFill="1" applyBorder="1" applyAlignment="1">
      <alignment vertical="center" wrapText="1"/>
    </xf>
    <xf numFmtId="0" fontId="10" fillId="0" borderId="1" xfId="17" applyFont="1" applyFill="1" applyBorder="1" applyAlignment="1">
      <alignment vertical="center" wrapText="1"/>
    </xf>
    <xf numFmtId="0" fontId="19" fillId="0" borderId="0" xfId="17" applyFont="1" applyFill="1" applyAlignment="1">
      <alignment horizontal="center"/>
    </xf>
    <xf numFmtId="0" fontId="34" fillId="0" borderId="1" xfId="15" applyFont="1" applyFill="1" applyBorder="1" applyAlignment="1">
      <alignment horizontal="left"/>
    </xf>
    <xf numFmtId="0" fontId="43" fillId="0" borderId="1" xfId="15" applyFont="1" applyFill="1" applyBorder="1" applyAlignment="1">
      <alignment horizontal="left" wrapText="1"/>
    </xf>
    <xf numFmtId="3" fontId="28" fillId="0" borderId="1" xfId="15" applyNumberFormat="1" applyFont="1" applyFill="1" applyBorder="1" applyAlignment="1">
      <alignment horizontal="right"/>
    </xf>
    <xf numFmtId="49" fontId="43" fillId="0" borderId="1" xfId="15" applyNumberFormat="1" applyFont="1" applyFill="1" applyBorder="1" applyAlignment="1">
      <alignment horizontal="left" wrapText="1"/>
    </xf>
    <xf numFmtId="3" fontId="34" fillId="0" borderId="1" xfId="15" applyNumberFormat="1" applyFont="1" applyFill="1" applyBorder="1" applyAlignment="1">
      <alignment horizontal="right"/>
    </xf>
    <xf numFmtId="0" fontId="43" fillId="0" borderId="1" xfId="15" applyFont="1" applyFill="1" applyBorder="1" applyAlignment="1">
      <alignment horizontal="left"/>
    </xf>
    <xf numFmtId="0" fontId="26" fillId="0" borderId="1" xfId="15" applyFont="1" applyFill="1" applyBorder="1" applyAlignment="1">
      <alignment horizontal="left"/>
    </xf>
    <xf numFmtId="3" fontId="26" fillId="0" borderId="1" xfId="15" applyNumberFormat="1" applyFont="1" applyFill="1" applyBorder="1" applyAlignment="1">
      <alignment horizontal="right"/>
    </xf>
    <xf numFmtId="3" fontId="27" fillId="0" borderId="1" xfId="15" applyNumberFormat="1" applyFont="1" applyFill="1" applyBorder="1" applyAlignment="1">
      <alignment horizontal="right"/>
    </xf>
    <xf numFmtId="3" fontId="35" fillId="0" borderId="1" xfId="15" applyNumberFormat="1" applyFont="1" applyFill="1" applyBorder="1" applyAlignment="1" applyProtection="1">
      <alignment horizontal="right"/>
    </xf>
    <xf numFmtId="49" fontId="26" fillId="0" borderId="1" xfId="15" applyNumberFormat="1" applyFont="1" applyFill="1" applyBorder="1" applyAlignment="1">
      <alignment horizontal="left" wrapText="1"/>
    </xf>
    <xf numFmtId="3" fontId="35" fillId="0" borderId="12" xfId="14" applyNumberFormat="1" applyFont="1" applyFill="1" applyBorder="1" applyAlignment="1" applyProtection="1">
      <alignment horizontal="right"/>
      <protection locked="0"/>
    </xf>
    <xf numFmtId="0" fontId="26" fillId="0" borderId="1" xfId="15" applyFont="1" applyFill="1" applyBorder="1" applyAlignment="1">
      <alignment horizontal="left" wrapText="1"/>
    </xf>
    <xf numFmtId="0" fontId="34" fillId="0" borderId="1" xfId="17" applyFont="1" applyFill="1" applyBorder="1" applyAlignment="1"/>
    <xf numFmtId="3" fontId="34" fillId="3" borderId="1" xfId="15" applyNumberFormat="1" applyFont="1" applyFill="1" applyBorder="1" applyAlignment="1">
      <alignment horizontal="center"/>
    </xf>
    <xf numFmtId="0" fontId="34" fillId="0" borderId="1" xfId="17" applyFont="1" applyFill="1" applyBorder="1" applyAlignment="1">
      <alignment wrapText="1"/>
    </xf>
    <xf numFmtId="3" fontId="34" fillId="3" borderId="1" xfId="17" applyNumberFormat="1" applyFont="1" applyFill="1" applyBorder="1" applyAlignment="1">
      <alignment horizontal="center"/>
    </xf>
    <xf numFmtId="49" fontId="34" fillId="0" borderId="1" xfId="16" applyNumberFormat="1" applyFont="1" applyFill="1" applyBorder="1" applyAlignment="1">
      <alignment wrapText="1"/>
    </xf>
    <xf numFmtId="3" fontId="34" fillId="0" borderId="1" xfId="17" applyNumberFormat="1" applyFont="1" applyFill="1" applyBorder="1" applyAlignment="1">
      <alignment horizontal="right"/>
    </xf>
    <xf numFmtId="3" fontId="28" fillId="0" borderId="1" xfId="17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7" fillId="0" borderId="0" xfId="5" applyFont="1" applyFill="1" applyAlignment="1">
      <alignment wrapText="1"/>
    </xf>
  </cellXfs>
  <cellStyles count="18">
    <cellStyle name="Normal 2 2" xfId="15"/>
    <cellStyle name="Normal 2 3" xfId="14"/>
    <cellStyle name="Normal_Budjet2005_palna raboten" xfId="9"/>
    <cellStyle name="Normal_PrilDimi" xfId="7"/>
    <cellStyle name="Normal_sesiaI ot4et 2" xfId="5"/>
    <cellStyle name="Normal_Sheet1" xfId="4"/>
    <cellStyle name="Нормален" xfId="0" builtinId="0"/>
    <cellStyle name="Нормален 2" xfId="2"/>
    <cellStyle name="Нормален 3" xfId="8"/>
    <cellStyle name="Нормален 3 2" xfId="6"/>
    <cellStyle name="Нормален 3 3" xfId="10"/>
    <cellStyle name="Нормален 3 4" xfId="11"/>
    <cellStyle name="Нормален 6" xfId="13"/>
    <cellStyle name="Нормален 6 2" xfId="17"/>
    <cellStyle name="Нормален 7" xfId="12"/>
    <cellStyle name="Нормален_ИП-2011г-начална 2" xfId="1"/>
    <cellStyle name="Нормален_Лист1 2" xfId="3"/>
    <cellStyle name="Процент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8/&#1057;&#1045;&#1057;&#1048;&#1071;%20&#1041;&#1070;&#1044;&#1046;&#1045;&#1058;%202018%20-%20&#1042;&#1053;&#1045;&#1057;&#1045;&#1053;&#1040;%20&#1042;&#1066;&#1042;%20&#1042;&#1058;&#1054;&#1041;&#1057;/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9/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IM260"/>
  <sheetViews>
    <sheetView tabSelected="1" topLeftCell="A175" zoomScale="85" zoomScaleNormal="85" workbookViewId="0">
      <selection activeCell="E60" sqref="E60"/>
    </sheetView>
  </sheetViews>
  <sheetFormatPr defaultColWidth="19.42578125" defaultRowHeight="15.75" x14ac:dyDescent="0.25"/>
  <cols>
    <col min="1" max="1" width="13.42578125" style="62" customWidth="1"/>
    <col min="2" max="2" width="15.5703125" style="62" customWidth="1"/>
    <col min="3" max="3" width="14.7109375" style="62" customWidth="1"/>
    <col min="4" max="4" width="19.42578125" style="62" customWidth="1"/>
    <col min="5" max="5" width="20.28515625" style="62" customWidth="1"/>
    <col min="6" max="6" width="19" style="62" customWidth="1"/>
    <col min="7" max="7" width="33.42578125" style="62" customWidth="1"/>
    <col min="8" max="16384" width="19.42578125" style="16"/>
  </cols>
  <sheetData>
    <row r="3" spans="1:6" s="48" customFormat="1" x14ac:dyDescent="0.25">
      <c r="A3" s="13" t="s">
        <v>385</v>
      </c>
      <c r="B3" s="13"/>
      <c r="E3" s="68"/>
      <c r="F3" s="83"/>
    </row>
    <row r="4" spans="1:6" s="49" customFormat="1" x14ac:dyDescent="0.25">
      <c r="A4" s="49" t="s">
        <v>378</v>
      </c>
      <c r="B4" s="48"/>
      <c r="D4" s="48"/>
      <c r="E4" s="68"/>
      <c r="F4" s="84"/>
    </row>
    <row r="5" spans="1:6" s="49" customFormat="1" x14ac:dyDescent="0.25">
      <c r="A5" s="49" t="s">
        <v>379</v>
      </c>
      <c r="B5" s="48"/>
      <c r="D5" s="48"/>
      <c r="E5" s="68"/>
      <c r="F5" s="84"/>
    </row>
    <row r="6" spans="1:6" s="49" customFormat="1" x14ac:dyDescent="0.25">
      <c r="D6" s="48"/>
      <c r="E6" s="68"/>
      <c r="F6" s="84"/>
    </row>
    <row r="7" spans="1:6" s="49" customFormat="1" x14ac:dyDescent="0.25">
      <c r="D7" s="48"/>
      <c r="E7" s="68"/>
      <c r="F7" s="84"/>
    </row>
    <row r="8" spans="1:6" s="49" customFormat="1" x14ac:dyDescent="0.25">
      <c r="A8" s="49" t="s">
        <v>380</v>
      </c>
      <c r="D8" s="48"/>
      <c r="E8" s="68"/>
      <c r="F8" s="84"/>
    </row>
    <row r="9" spans="1:6" s="48" customFormat="1" x14ac:dyDescent="0.25">
      <c r="A9" s="49"/>
      <c r="B9" s="49"/>
      <c r="D9" s="70"/>
      <c r="E9" s="71"/>
      <c r="F9" s="83"/>
    </row>
    <row r="10" spans="1:6" s="48" customFormat="1" x14ac:dyDescent="0.25">
      <c r="A10" s="49"/>
      <c r="B10" s="49"/>
      <c r="D10" s="70"/>
      <c r="E10" s="71"/>
      <c r="F10" s="83"/>
    </row>
    <row r="11" spans="1:6" s="49" customFormat="1" x14ac:dyDescent="0.25">
      <c r="D11" s="48"/>
      <c r="E11" s="68"/>
      <c r="F11" s="84"/>
    </row>
    <row r="12" spans="1:6" s="49" customFormat="1" x14ac:dyDescent="0.25">
      <c r="A12" s="69" t="s">
        <v>381</v>
      </c>
      <c r="B12" s="48"/>
      <c r="D12" s="48"/>
      <c r="E12" s="68"/>
      <c r="F12" s="84"/>
    </row>
    <row r="13" spans="1:6" s="48" customFormat="1" x14ac:dyDescent="0.25">
      <c r="A13" s="49"/>
      <c r="E13" s="68"/>
      <c r="F13" s="83"/>
    </row>
    <row r="14" spans="1:6" s="48" customFormat="1" x14ac:dyDescent="0.25">
      <c r="A14" s="49"/>
      <c r="E14" s="68"/>
      <c r="F14" s="83"/>
    </row>
    <row r="15" spans="1:6" s="48" customFormat="1" x14ac:dyDescent="0.25">
      <c r="B15" s="48" t="s">
        <v>382</v>
      </c>
      <c r="E15" s="68"/>
      <c r="F15" s="83"/>
    </row>
    <row r="16" spans="1:6" s="48" customFormat="1" x14ac:dyDescent="0.25">
      <c r="A16" s="48" t="s">
        <v>383</v>
      </c>
      <c r="E16" s="68"/>
      <c r="F16" s="83"/>
    </row>
    <row r="17" spans="1:247" s="48" customFormat="1" x14ac:dyDescent="0.25">
      <c r="E17" s="68"/>
      <c r="F17" s="83"/>
    </row>
    <row r="18" spans="1:247" x14ac:dyDescent="0.25">
      <c r="A18" s="48"/>
      <c r="B18" s="48" t="s">
        <v>540</v>
      </c>
      <c r="C18" s="16"/>
      <c r="D18" s="48"/>
      <c r="E18" s="68"/>
      <c r="F18" s="61"/>
      <c r="G18" s="16"/>
    </row>
    <row r="19" spans="1:247" x14ac:dyDescent="0.25">
      <c r="A19" s="48" t="s">
        <v>384</v>
      </c>
      <c r="B19" s="16"/>
      <c r="C19" s="16"/>
      <c r="D19" s="48"/>
      <c r="E19" s="68"/>
      <c r="F19" s="61"/>
      <c r="G19" s="16"/>
    </row>
    <row r="20" spans="1:247" x14ac:dyDescent="0.25">
      <c r="A20" s="16"/>
      <c r="B20" s="16"/>
      <c r="C20" s="16"/>
      <c r="D20" s="16"/>
      <c r="E20" s="16"/>
      <c r="F20" s="16"/>
      <c r="G20" s="16"/>
    </row>
    <row r="21" spans="1:247" s="22" customFormat="1" x14ac:dyDescent="0.25">
      <c r="A21" s="109" t="s">
        <v>253</v>
      </c>
      <c r="B21" s="17"/>
      <c r="C21" s="110"/>
      <c r="D21" s="17"/>
      <c r="E21" s="111"/>
      <c r="F21" s="112"/>
      <c r="G21" s="113"/>
    </row>
    <row r="23" spans="1:247" x14ac:dyDescent="0.25">
      <c r="A23" s="18" t="s">
        <v>254</v>
      </c>
      <c r="B23" s="13"/>
      <c r="C23" s="23"/>
      <c r="D23" s="13"/>
      <c r="E23" s="136"/>
      <c r="F23" s="111"/>
      <c r="G23" s="137"/>
    </row>
    <row r="24" spans="1:247" x14ac:dyDescent="0.25">
      <c r="A24" s="13" t="s">
        <v>255</v>
      </c>
      <c r="B24" s="13"/>
      <c r="C24" s="23"/>
      <c r="D24" s="13"/>
      <c r="E24" s="136"/>
      <c r="F24" s="138"/>
      <c r="G24" s="139"/>
    </row>
    <row r="25" spans="1:247" x14ac:dyDescent="0.25">
      <c r="A25" s="25" t="s">
        <v>256</v>
      </c>
      <c r="B25" s="26"/>
      <c r="C25" s="24"/>
      <c r="D25" s="26"/>
      <c r="E25" s="136"/>
      <c r="F25" s="136"/>
      <c r="G25" s="140"/>
    </row>
    <row r="26" spans="1:247" x14ac:dyDescent="0.25">
      <c r="A26" s="25" t="s">
        <v>257</v>
      </c>
      <c r="B26" s="26"/>
      <c r="C26" s="24"/>
      <c r="D26" s="26"/>
      <c r="E26" s="136"/>
      <c r="F26" s="136"/>
      <c r="G26" s="140"/>
    </row>
    <row r="27" spans="1:247" x14ac:dyDescent="0.25">
      <c r="A27" s="26" t="s">
        <v>258</v>
      </c>
      <c r="B27" s="22"/>
      <c r="C27" s="19"/>
      <c r="D27" s="22"/>
      <c r="E27" s="141" t="s">
        <v>259</v>
      </c>
      <c r="F27" s="142" t="s">
        <v>260</v>
      </c>
      <c r="G27" s="142" t="s">
        <v>413</v>
      </c>
    </row>
    <row r="28" spans="1:247" s="78" customFormat="1" x14ac:dyDescent="0.25">
      <c r="A28" s="13" t="s">
        <v>456</v>
      </c>
      <c r="B28" s="22"/>
      <c r="C28" s="19"/>
      <c r="D28" s="22"/>
      <c r="E28" s="144">
        <v>2400</v>
      </c>
      <c r="F28" s="135">
        <f t="shared" ref="F28:F29" si="0">SUM(G28)</f>
        <v>1</v>
      </c>
      <c r="G28" s="135">
        <f>SUM(G29:G29)</f>
        <v>1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</row>
    <row r="29" spans="1:247" s="78" customFormat="1" x14ac:dyDescent="0.25">
      <c r="A29" s="16" t="s">
        <v>277</v>
      </c>
      <c r="B29" s="22"/>
      <c r="C29" s="19"/>
      <c r="D29" s="22"/>
      <c r="E29" s="153">
        <v>2408</v>
      </c>
      <c r="F29" s="133">
        <f t="shared" si="0"/>
        <v>1</v>
      </c>
      <c r="G29" s="133">
        <f>SUM(G30)</f>
        <v>1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</row>
    <row r="30" spans="1:247" x14ac:dyDescent="0.25">
      <c r="A30" s="29" t="s">
        <v>375</v>
      </c>
      <c r="B30" s="22"/>
      <c r="C30" s="19"/>
      <c r="D30" s="22"/>
      <c r="E30" s="136"/>
      <c r="F30" s="143">
        <f t="shared" ref="F30" si="1">G30</f>
        <v>1</v>
      </c>
      <c r="G30" s="143">
        <v>1</v>
      </c>
    </row>
    <row r="31" spans="1:247" x14ac:dyDescent="0.25">
      <c r="A31" s="22" t="s">
        <v>261</v>
      </c>
      <c r="B31" s="22"/>
      <c r="C31" s="22"/>
      <c r="D31" s="22"/>
      <c r="E31" s="144">
        <v>2700</v>
      </c>
      <c r="F31" s="145">
        <f t="shared" ref="F31:F48" si="2">G31</f>
        <v>2577</v>
      </c>
      <c r="G31" s="145">
        <f>SUM(G32)</f>
        <v>2577</v>
      </c>
    </row>
    <row r="32" spans="1:247" x14ac:dyDescent="0.25">
      <c r="A32" s="22" t="s">
        <v>457</v>
      </c>
      <c r="B32" s="22"/>
      <c r="C32" s="22"/>
      <c r="D32" s="22"/>
      <c r="E32" s="112">
        <v>2708</v>
      </c>
      <c r="F32" s="143">
        <f t="shared" si="2"/>
        <v>2577</v>
      </c>
      <c r="G32" s="143">
        <f t="shared" ref="G32" si="3">SUM(G33)</f>
        <v>2577</v>
      </c>
    </row>
    <row r="33" spans="1:7" x14ac:dyDescent="0.25">
      <c r="A33" s="29" t="s">
        <v>375</v>
      </c>
      <c r="B33" s="22"/>
      <c r="C33" s="19"/>
      <c r="D33" s="22"/>
      <c r="E33" s="136"/>
      <c r="F33" s="143">
        <f t="shared" si="2"/>
        <v>2577</v>
      </c>
      <c r="G33" s="143">
        <v>2577</v>
      </c>
    </row>
    <row r="34" spans="1:7" x14ac:dyDescent="0.25">
      <c r="A34" s="26" t="s">
        <v>263</v>
      </c>
      <c r="B34" s="22"/>
      <c r="C34" s="22"/>
      <c r="D34" s="22"/>
      <c r="E34" s="144">
        <v>3600</v>
      </c>
      <c r="F34" s="145">
        <f t="shared" si="2"/>
        <v>-4</v>
      </c>
      <c r="G34" s="145">
        <f>SUM(G35)</f>
        <v>-4</v>
      </c>
    </row>
    <row r="35" spans="1:7" x14ac:dyDescent="0.25">
      <c r="A35" s="114" t="s">
        <v>498</v>
      </c>
      <c r="B35" s="106"/>
      <c r="C35" s="106"/>
      <c r="D35" s="106"/>
      <c r="E35" s="112">
        <v>3601</v>
      </c>
      <c r="F35" s="113">
        <f t="shared" ref="F35:F36" si="4">G35</f>
        <v>-4</v>
      </c>
      <c r="G35" s="113">
        <f t="shared" ref="G35" si="5">SUM(G36)</f>
        <v>-4</v>
      </c>
    </row>
    <row r="36" spans="1:7" x14ac:dyDescent="0.25">
      <c r="A36" s="22" t="s">
        <v>375</v>
      </c>
      <c r="B36" s="22"/>
      <c r="C36" s="22"/>
      <c r="D36" s="22"/>
      <c r="E36" s="112"/>
      <c r="F36" s="113">
        <f t="shared" si="4"/>
        <v>-4</v>
      </c>
      <c r="G36" s="113">
        <v>-4</v>
      </c>
    </row>
    <row r="37" spans="1:7" x14ac:dyDescent="0.25">
      <c r="A37" s="26" t="s">
        <v>264</v>
      </c>
      <c r="B37" s="22"/>
      <c r="C37" s="22"/>
      <c r="D37" s="22"/>
      <c r="E37" s="144">
        <v>3700</v>
      </c>
      <c r="F37" s="145">
        <f>G37</f>
        <v>-108</v>
      </c>
      <c r="G37" s="145">
        <f>SUM(,G38)</f>
        <v>-108</v>
      </c>
    </row>
    <row r="38" spans="1:7" ht="34.5" customHeight="1" x14ac:dyDescent="0.25">
      <c r="A38" s="371" t="s">
        <v>278</v>
      </c>
      <c r="B38" s="371"/>
      <c r="C38" s="371"/>
      <c r="D38" s="371"/>
      <c r="E38" s="112">
        <v>3702</v>
      </c>
      <c r="F38" s="113">
        <f t="shared" si="2"/>
        <v>-108</v>
      </c>
      <c r="G38" s="113">
        <f>G39</f>
        <v>-108</v>
      </c>
    </row>
    <row r="39" spans="1:7" x14ac:dyDescent="0.25">
      <c r="A39" s="22" t="s">
        <v>375</v>
      </c>
      <c r="B39" s="22"/>
      <c r="C39" s="22"/>
      <c r="D39" s="22"/>
      <c r="E39" s="138"/>
      <c r="F39" s="113">
        <f t="shared" si="2"/>
        <v>-108</v>
      </c>
      <c r="G39" s="113">
        <v>-108</v>
      </c>
    </row>
    <row r="40" spans="1:7" x14ac:dyDescent="0.25">
      <c r="A40" s="32" t="s">
        <v>265</v>
      </c>
      <c r="B40" s="22"/>
      <c r="C40" s="22"/>
      <c r="D40" s="22"/>
      <c r="E40" s="144">
        <v>4500</v>
      </c>
      <c r="F40" s="135">
        <f t="shared" si="2"/>
        <v>500</v>
      </c>
      <c r="G40" s="135">
        <f>SUM(,G41)</f>
        <v>500</v>
      </c>
    </row>
    <row r="41" spans="1:7" x14ac:dyDescent="0.25">
      <c r="A41" s="22" t="s">
        <v>266</v>
      </c>
      <c r="B41" s="22"/>
      <c r="C41" s="22"/>
      <c r="D41" s="22"/>
      <c r="E41" s="112">
        <v>4501</v>
      </c>
      <c r="F41" s="134">
        <f t="shared" si="2"/>
        <v>500</v>
      </c>
      <c r="G41" s="134">
        <f t="shared" ref="G41" si="6">SUM(G42)</f>
        <v>500</v>
      </c>
    </row>
    <row r="42" spans="1:7" x14ac:dyDescent="0.25">
      <c r="A42" s="29" t="s">
        <v>375</v>
      </c>
      <c r="B42" s="22"/>
      <c r="C42" s="22"/>
      <c r="D42" s="22"/>
      <c r="E42" s="112"/>
      <c r="F42" s="134">
        <f t="shared" si="2"/>
        <v>500</v>
      </c>
      <c r="G42" s="134">
        <v>500</v>
      </c>
    </row>
    <row r="43" spans="1:7" x14ac:dyDescent="0.25">
      <c r="A43" s="32" t="s">
        <v>566</v>
      </c>
      <c r="B43" s="22"/>
      <c r="C43" s="22"/>
      <c r="D43" s="22"/>
      <c r="E43" s="144">
        <v>4600</v>
      </c>
      <c r="F43" s="135">
        <f t="shared" ref="F43:F45" si="7">G43</f>
        <v>13950</v>
      </c>
      <c r="G43" s="135">
        <f>SUM(,G44)</f>
        <v>13950</v>
      </c>
    </row>
    <row r="44" spans="1:7" ht="35.25" customHeight="1" x14ac:dyDescent="0.25">
      <c r="A44" s="371" t="s">
        <v>571</v>
      </c>
      <c r="B44" s="371"/>
      <c r="C44" s="371"/>
      <c r="D44" s="371"/>
      <c r="E44" s="112">
        <v>4650</v>
      </c>
      <c r="F44" s="134">
        <f t="shared" si="7"/>
        <v>13950</v>
      </c>
      <c r="G44" s="134">
        <f t="shared" ref="G44" si="8">SUM(G45)</f>
        <v>13950</v>
      </c>
    </row>
    <row r="45" spans="1:7" x14ac:dyDescent="0.25">
      <c r="A45" s="29" t="s">
        <v>375</v>
      </c>
      <c r="B45" s="22"/>
      <c r="C45" s="22"/>
      <c r="D45" s="22"/>
      <c r="E45" s="112"/>
      <c r="F45" s="134">
        <f t="shared" si="7"/>
        <v>13950</v>
      </c>
      <c r="G45" s="134">
        <v>13950</v>
      </c>
    </row>
    <row r="46" spans="1:7" x14ac:dyDescent="0.25">
      <c r="A46" s="33" t="s">
        <v>267</v>
      </c>
      <c r="B46" s="33"/>
      <c r="C46" s="34"/>
      <c r="D46" s="33"/>
      <c r="E46" s="146"/>
      <c r="F46" s="147">
        <f t="shared" si="2"/>
        <v>16916</v>
      </c>
      <c r="G46" s="147">
        <f>SUM(G31,G34,G37,G40,G28,G43)</f>
        <v>16916</v>
      </c>
    </row>
    <row r="47" spans="1:7" x14ac:dyDescent="0.25">
      <c r="A47" s="35"/>
      <c r="B47" s="35"/>
      <c r="C47" s="36"/>
      <c r="D47" s="35"/>
      <c r="E47" s="148"/>
      <c r="F47" s="149"/>
      <c r="G47" s="149"/>
    </row>
    <row r="48" spans="1:7" ht="16.5" thickBot="1" x14ac:dyDescent="0.3">
      <c r="A48" s="37" t="s">
        <v>268</v>
      </c>
      <c r="B48" s="37"/>
      <c r="C48" s="38"/>
      <c r="D48" s="37"/>
      <c r="E48" s="150"/>
      <c r="F48" s="151">
        <f t="shared" si="2"/>
        <v>16916</v>
      </c>
      <c r="G48" s="151">
        <f>SUM(G46,)</f>
        <v>16916</v>
      </c>
    </row>
    <row r="49" spans="1:247" ht="16.5" thickTop="1" x14ac:dyDescent="0.25">
      <c r="A49" s="26"/>
      <c r="B49" s="22"/>
      <c r="C49" s="19"/>
      <c r="D49" s="22"/>
      <c r="E49" s="85"/>
      <c r="F49" s="85"/>
      <c r="G49" s="85"/>
    </row>
    <row r="50" spans="1:247" x14ac:dyDescent="0.25">
      <c r="A50" s="39"/>
      <c r="B50" s="39"/>
      <c r="C50" s="39"/>
      <c r="D50" s="40"/>
      <c r="E50" s="141" t="s">
        <v>259</v>
      </c>
      <c r="F50" s="142" t="s">
        <v>260</v>
      </c>
      <c r="G50" s="142" t="s">
        <v>413</v>
      </c>
    </row>
    <row r="51" spans="1:247" x14ac:dyDescent="0.25">
      <c r="A51" s="26" t="s">
        <v>269</v>
      </c>
      <c r="B51" s="22"/>
      <c r="C51" s="22"/>
      <c r="D51" s="22"/>
      <c r="E51" s="144">
        <v>6100</v>
      </c>
      <c r="F51" s="135">
        <f>G51</f>
        <v>19825</v>
      </c>
      <c r="G51" s="135">
        <f>SUM(G52,G54,G56)</f>
        <v>19825</v>
      </c>
    </row>
    <row r="52" spans="1:247" x14ac:dyDescent="0.25">
      <c r="A52" s="22" t="s">
        <v>572</v>
      </c>
      <c r="B52" s="22"/>
      <c r="C52" s="22"/>
      <c r="D52" s="22"/>
      <c r="E52" s="153">
        <v>6101</v>
      </c>
      <c r="F52" s="135">
        <f>G52</f>
        <v>22483</v>
      </c>
      <c r="G52" s="135">
        <f>SUM(G53:G53)</f>
        <v>22483</v>
      </c>
    </row>
    <row r="53" spans="1:247" s="62" customFormat="1" x14ac:dyDescent="0.25">
      <c r="A53" s="29" t="s">
        <v>375</v>
      </c>
      <c r="B53" s="22"/>
      <c r="C53" s="22"/>
      <c r="D53" s="22"/>
      <c r="E53" s="112"/>
      <c r="F53" s="134">
        <f t="shared" ref="F53" si="9">G53</f>
        <v>22483</v>
      </c>
      <c r="G53" s="134">
        <v>22483</v>
      </c>
    </row>
    <row r="54" spans="1:247" x14ac:dyDescent="0.25">
      <c r="A54" s="22" t="s">
        <v>573</v>
      </c>
      <c r="B54" s="22"/>
      <c r="C54" s="22"/>
      <c r="D54" s="22"/>
      <c r="E54" s="153">
        <v>6102</v>
      </c>
      <c r="F54" s="135">
        <f>G54</f>
        <v>-2658</v>
      </c>
      <c r="G54" s="135">
        <f>SUM(G55:G55)</f>
        <v>-2658</v>
      </c>
    </row>
    <row r="55" spans="1:247" s="62" customFormat="1" x14ac:dyDescent="0.25">
      <c r="A55" s="29" t="s">
        <v>375</v>
      </c>
      <c r="B55" s="22"/>
      <c r="C55" s="22"/>
      <c r="D55" s="22"/>
      <c r="E55" s="112"/>
      <c r="F55" s="134">
        <f t="shared" ref="F55" si="10">G55</f>
        <v>-2658</v>
      </c>
      <c r="G55" s="134">
        <v>-2658</v>
      </c>
    </row>
    <row r="56" spans="1:247" x14ac:dyDescent="0.25">
      <c r="A56" s="22" t="s">
        <v>270</v>
      </c>
      <c r="B56" s="22"/>
      <c r="C56" s="22"/>
      <c r="D56" s="22"/>
      <c r="E56" s="153">
        <v>6109</v>
      </c>
      <c r="F56" s="135">
        <f>G56</f>
        <v>0</v>
      </c>
      <c r="G56" s="135">
        <f>SUM(G57:G58)</f>
        <v>0</v>
      </c>
    </row>
    <row r="57" spans="1:247" s="62" customFormat="1" x14ac:dyDescent="0.25">
      <c r="A57" s="22" t="s">
        <v>262</v>
      </c>
      <c r="B57" s="22"/>
      <c r="C57" s="22"/>
      <c r="D57" s="22"/>
      <c r="E57" s="112"/>
      <c r="F57" s="134">
        <f t="shared" ref="F57:F58" si="11">G57</f>
        <v>-1306</v>
      </c>
      <c r="G57" s="134">
        <v>-1306</v>
      </c>
    </row>
    <row r="58" spans="1:247" s="62" customFormat="1" x14ac:dyDescent="0.25">
      <c r="A58" s="22" t="s">
        <v>271</v>
      </c>
      <c r="B58" s="22"/>
      <c r="C58" s="22"/>
      <c r="D58" s="22"/>
      <c r="E58" s="112"/>
      <c r="F58" s="134">
        <f t="shared" si="11"/>
        <v>1306</v>
      </c>
      <c r="G58" s="134">
        <v>1306</v>
      </c>
    </row>
    <row r="59" spans="1:247" s="62" customFormat="1" ht="16.5" thickBot="1" x14ac:dyDescent="0.3">
      <c r="A59" s="37" t="s">
        <v>274</v>
      </c>
      <c r="B59" s="37"/>
      <c r="C59" s="37"/>
      <c r="D59" s="37"/>
      <c r="E59" s="155"/>
      <c r="F59" s="156">
        <f>G59</f>
        <v>19825</v>
      </c>
      <c r="G59" s="156">
        <f>SUM(G51)</f>
        <v>19825</v>
      </c>
    </row>
    <row r="60" spans="1:247" ht="16.5" thickTop="1" x14ac:dyDescent="0.25">
      <c r="A60" s="35"/>
      <c r="B60" s="35"/>
      <c r="C60" s="35"/>
      <c r="D60" s="35"/>
      <c r="E60" s="157"/>
      <c r="F60" s="158"/>
      <c r="G60" s="158"/>
    </row>
    <row r="61" spans="1:247" ht="16.5" thickBot="1" x14ac:dyDescent="0.3">
      <c r="A61" s="44" t="s">
        <v>275</v>
      </c>
      <c r="B61" s="37"/>
      <c r="C61" s="37"/>
      <c r="D61" s="45"/>
      <c r="E61" s="155"/>
      <c r="F61" s="156">
        <f>G61</f>
        <v>36741</v>
      </c>
      <c r="G61" s="156">
        <f>SUM(G48,G59,)</f>
        <v>36741</v>
      </c>
    </row>
    <row r="62" spans="1:247" s="78" customFormat="1" ht="16.5" thickTop="1" x14ac:dyDescent="0.25">
      <c r="A62" s="25"/>
      <c r="B62" s="26"/>
      <c r="C62" s="26"/>
      <c r="D62" s="46"/>
      <c r="E62" s="138"/>
      <c r="F62" s="139"/>
      <c r="G62" s="139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</row>
    <row r="63" spans="1:247" s="78" customFormat="1" x14ac:dyDescent="0.25">
      <c r="A63" s="25"/>
      <c r="B63" s="26"/>
      <c r="C63" s="26"/>
      <c r="D63" s="46"/>
      <c r="E63" s="138"/>
      <c r="F63" s="139"/>
      <c r="G63" s="139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</row>
    <row r="64" spans="1:247" s="78" customFormat="1" x14ac:dyDescent="0.25">
      <c r="A64" s="25"/>
      <c r="B64" s="26"/>
      <c r="C64" s="26"/>
      <c r="D64" s="46"/>
      <c r="E64" s="138"/>
      <c r="F64" s="139"/>
      <c r="G64" s="139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</row>
    <row r="65" spans="1:247" s="78" customFormat="1" x14ac:dyDescent="0.25">
      <c r="A65" s="25"/>
      <c r="B65" s="26"/>
      <c r="C65" s="26"/>
      <c r="D65" s="46"/>
      <c r="E65" s="138"/>
      <c r="F65" s="139"/>
      <c r="G65" s="139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</row>
    <row r="66" spans="1:247" s="78" customFormat="1" x14ac:dyDescent="0.25">
      <c r="A66" s="25" t="s">
        <v>276</v>
      </c>
      <c r="B66" s="22"/>
      <c r="C66" s="22"/>
      <c r="D66" s="22"/>
      <c r="E66" s="111"/>
      <c r="F66" s="137"/>
      <c r="G66" s="137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</row>
    <row r="67" spans="1:247" s="78" customFormat="1" x14ac:dyDescent="0.25">
      <c r="A67" s="26" t="s">
        <v>258</v>
      </c>
      <c r="B67" s="22"/>
      <c r="C67" s="19"/>
      <c r="D67" s="22"/>
      <c r="E67" s="141" t="s">
        <v>259</v>
      </c>
      <c r="F67" s="142" t="s">
        <v>260</v>
      </c>
      <c r="G67" s="142" t="s">
        <v>413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</row>
    <row r="68" spans="1:247" s="78" customFormat="1" x14ac:dyDescent="0.25">
      <c r="A68" s="26" t="s">
        <v>264</v>
      </c>
      <c r="B68" s="22"/>
      <c r="C68" s="22"/>
      <c r="D68" s="22"/>
      <c r="E68" s="144">
        <v>3700</v>
      </c>
      <c r="F68" s="135">
        <f t="shared" ref="F68:F69" si="12">SUM(G68)</f>
        <v>-150702</v>
      </c>
      <c r="G68" s="135">
        <f>SUM(G69)</f>
        <v>-150702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</row>
    <row r="69" spans="1:247" x14ac:dyDescent="0.25">
      <c r="A69" s="22" t="s">
        <v>519</v>
      </c>
      <c r="B69" s="22"/>
      <c r="C69" s="22"/>
      <c r="D69" s="22"/>
      <c r="E69" s="159">
        <v>3701</v>
      </c>
      <c r="F69" s="160">
        <f t="shared" si="12"/>
        <v>-150702</v>
      </c>
      <c r="G69" s="160">
        <f>SUM(G70:G70)</f>
        <v>-150702</v>
      </c>
    </row>
    <row r="70" spans="1:247" x14ac:dyDescent="0.25">
      <c r="A70" s="22" t="s">
        <v>262</v>
      </c>
      <c r="B70" s="22"/>
      <c r="C70" s="19"/>
      <c r="D70" s="22"/>
      <c r="E70" s="154"/>
      <c r="F70" s="143">
        <f t="shared" ref="F70:F78" si="13">SUM(G70)</f>
        <v>-150702</v>
      </c>
      <c r="G70" s="134">
        <v>-150702</v>
      </c>
    </row>
    <row r="71" spans="1:247" x14ac:dyDescent="0.25">
      <c r="A71" s="13" t="s">
        <v>520</v>
      </c>
      <c r="B71" s="22"/>
      <c r="C71" s="19"/>
      <c r="D71" s="22"/>
      <c r="E71" s="144">
        <v>4000</v>
      </c>
      <c r="F71" s="135">
        <f>SUM(G71)</f>
        <v>533888</v>
      </c>
      <c r="G71" s="135">
        <f>SUM(G72:G73)</f>
        <v>533888</v>
      </c>
    </row>
    <row r="72" spans="1:247" x14ac:dyDescent="0.25">
      <c r="A72" s="16" t="s">
        <v>521</v>
      </c>
      <c r="B72" s="22"/>
      <c r="C72" s="19"/>
      <c r="D72" s="22"/>
      <c r="E72" s="163">
        <v>4022</v>
      </c>
      <c r="F72" s="164">
        <f>SUM(G72)</f>
        <v>356264</v>
      </c>
      <c r="G72" s="164">
        <v>356264</v>
      </c>
    </row>
    <row r="73" spans="1:247" x14ac:dyDescent="0.25">
      <c r="A73" s="16" t="s">
        <v>522</v>
      </c>
      <c r="B73" s="22"/>
      <c r="C73" s="19"/>
      <c r="D73" s="22"/>
      <c r="E73" s="153">
        <v>4040</v>
      </c>
      <c r="F73" s="133">
        <f>SUM(G73)</f>
        <v>177624</v>
      </c>
      <c r="G73" s="133">
        <v>177624</v>
      </c>
    </row>
    <row r="74" spans="1:247" x14ac:dyDescent="0.25">
      <c r="A74" s="32" t="s">
        <v>265</v>
      </c>
      <c r="B74" s="22"/>
      <c r="C74" s="22"/>
      <c r="D74" s="22"/>
      <c r="E74" s="144">
        <v>4500</v>
      </c>
      <c r="F74" s="135">
        <f t="shared" ref="F74:F76" si="14">G74</f>
        <v>1000</v>
      </c>
      <c r="G74" s="135">
        <f>SUM(,G75)</f>
        <v>1000</v>
      </c>
    </row>
    <row r="75" spans="1:247" x14ac:dyDescent="0.25">
      <c r="A75" s="22" t="s">
        <v>266</v>
      </c>
      <c r="B75" s="22"/>
      <c r="C75" s="22"/>
      <c r="D75" s="22"/>
      <c r="E75" s="112">
        <v>4501</v>
      </c>
      <c r="F75" s="134">
        <f t="shared" si="14"/>
        <v>1000</v>
      </c>
      <c r="G75" s="134">
        <f t="shared" ref="G75" si="15">SUM(G76)</f>
        <v>1000</v>
      </c>
    </row>
    <row r="76" spans="1:247" x14ac:dyDescent="0.25">
      <c r="A76" s="22" t="s">
        <v>377</v>
      </c>
      <c r="B76" s="22"/>
      <c r="C76" s="22"/>
      <c r="D76" s="22"/>
      <c r="E76" s="112"/>
      <c r="F76" s="134">
        <f t="shared" si="14"/>
        <v>1000</v>
      </c>
      <c r="G76" s="134">
        <v>1000</v>
      </c>
    </row>
    <row r="77" spans="1:247" x14ac:dyDescent="0.25">
      <c r="A77" s="33" t="s">
        <v>267</v>
      </c>
      <c r="B77" s="33"/>
      <c r="C77" s="34"/>
      <c r="D77" s="33"/>
      <c r="E77" s="146"/>
      <c r="F77" s="147">
        <f>SUM(G77)</f>
        <v>384186</v>
      </c>
      <c r="G77" s="147">
        <f>SUM(G68,G71,G74)</f>
        <v>384186</v>
      </c>
    </row>
    <row r="78" spans="1:247" ht="16.5" thickBot="1" x14ac:dyDescent="0.3">
      <c r="A78" s="37" t="s">
        <v>268</v>
      </c>
      <c r="B78" s="37"/>
      <c r="C78" s="38"/>
      <c r="D78" s="37"/>
      <c r="E78" s="150"/>
      <c r="F78" s="151">
        <f t="shared" si="13"/>
        <v>384186</v>
      </c>
      <c r="G78" s="151">
        <f>SUM(G77)</f>
        <v>384186</v>
      </c>
    </row>
    <row r="79" spans="1:247" ht="16.5" thickTop="1" x14ac:dyDescent="0.25">
      <c r="A79" s="26"/>
      <c r="B79" s="26"/>
      <c r="C79" s="24"/>
      <c r="D79" s="26"/>
      <c r="E79" s="136"/>
      <c r="F79" s="152"/>
      <c r="G79" s="152"/>
    </row>
    <row r="80" spans="1:247" s="13" customFormat="1" x14ac:dyDescent="0.25">
      <c r="A80" s="26" t="s">
        <v>279</v>
      </c>
      <c r="B80" s="26"/>
      <c r="C80" s="24"/>
      <c r="D80" s="26"/>
      <c r="E80" s="141" t="s">
        <v>259</v>
      </c>
      <c r="F80" s="142" t="s">
        <v>260</v>
      </c>
      <c r="G80" s="142" t="s">
        <v>413</v>
      </c>
    </row>
    <row r="81" spans="1:7" s="13" customFormat="1" x14ac:dyDescent="0.25">
      <c r="A81" s="41" t="s">
        <v>414</v>
      </c>
      <c r="B81" s="41"/>
      <c r="C81" s="41"/>
      <c r="D81" s="80"/>
      <c r="E81" s="203">
        <v>3100</v>
      </c>
      <c r="F81" s="204">
        <f>SUM(G81)</f>
        <v>1423156</v>
      </c>
      <c r="G81" s="204">
        <f>SUM(G82:G82)</f>
        <v>1423156</v>
      </c>
    </row>
    <row r="82" spans="1:7" s="13" customFormat="1" ht="48" customHeight="1" x14ac:dyDescent="0.25">
      <c r="A82" s="221" t="s">
        <v>415</v>
      </c>
      <c r="B82" s="221"/>
      <c r="C82" s="221"/>
      <c r="D82" s="221"/>
      <c r="E82" s="205">
        <v>3118</v>
      </c>
      <c r="F82" s="206">
        <f t="shared" ref="F82:F83" si="16">SUM(G82)</f>
        <v>1423156</v>
      </c>
      <c r="G82" s="206">
        <v>1423156</v>
      </c>
    </row>
    <row r="83" spans="1:7" s="13" customFormat="1" ht="16.5" thickBot="1" x14ac:dyDescent="0.3">
      <c r="A83" s="81" t="s">
        <v>416</v>
      </c>
      <c r="B83" s="81"/>
      <c r="C83" s="81"/>
      <c r="D83" s="82"/>
      <c r="E83" s="207"/>
      <c r="F83" s="207">
        <f t="shared" si="16"/>
        <v>1423156</v>
      </c>
      <c r="G83" s="207">
        <f>SUM(G81)</f>
        <v>1423156</v>
      </c>
    </row>
    <row r="84" spans="1:7" s="13" customFormat="1" ht="16.5" thickTop="1" x14ac:dyDescent="0.25">
      <c r="A84" s="39"/>
      <c r="B84" s="39"/>
      <c r="C84" s="39"/>
      <c r="D84" s="80"/>
      <c r="E84" s="208"/>
      <c r="F84" s="208"/>
      <c r="G84" s="208"/>
    </row>
    <row r="85" spans="1:7" x14ac:dyDescent="0.25">
      <c r="A85" s="26" t="s">
        <v>279</v>
      </c>
      <c r="B85" s="26"/>
      <c r="C85" s="24"/>
      <c r="D85" s="26"/>
      <c r="E85" s="141" t="s">
        <v>259</v>
      </c>
      <c r="F85" s="142" t="s">
        <v>260</v>
      </c>
      <c r="G85" s="142" t="s">
        <v>413</v>
      </c>
    </row>
    <row r="86" spans="1:7" x14ac:dyDescent="0.25">
      <c r="A86" s="26" t="s">
        <v>269</v>
      </c>
      <c r="B86" s="22"/>
      <c r="C86" s="22"/>
      <c r="D86" s="22"/>
      <c r="E86" s="144">
        <v>6100</v>
      </c>
      <c r="F86" s="135">
        <f>SUM(G86)</f>
        <v>0</v>
      </c>
      <c r="G86" s="135">
        <f>SUM(,G87,)</f>
        <v>0</v>
      </c>
    </row>
    <row r="87" spans="1:7" x14ac:dyDescent="0.25">
      <c r="A87" s="22" t="s">
        <v>270</v>
      </c>
      <c r="B87" s="22"/>
      <c r="C87" s="22"/>
      <c r="D87" s="22"/>
      <c r="E87" s="153">
        <v>6109</v>
      </c>
      <c r="F87" s="135">
        <f>SUM(G87)</f>
        <v>0</v>
      </c>
      <c r="G87" s="135">
        <f>SUM(G88:G89)</f>
        <v>0</v>
      </c>
    </row>
    <row r="88" spans="1:7" x14ac:dyDescent="0.25">
      <c r="A88" s="22" t="s">
        <v>262</v>
      </c>
      <c r="B88" s="22"/>
      <c r="C88" s="22"/>
      <c r="D88" s="22"/>
      <c r="E88" s="112"/>
      <c r="F88" s="134">
        <f t="shared" ref="F88:F89" si="17">SUM(G88)</f>
        <v>-1943</v>
      </c>
      <c r="G88" s="162">
        <v>-1943</v>
      </c>
    </row>
    <row r="89" spans="1:7" x14ac:dyDescent="0.25">
      <c r="A89" s="22" t="s">
        <v>272</v>
      </c>
      <c r="B89" s="22"/>
      <c r="C89" s="22"/>
      <c r="D89" s="22"/>
      <c r="E89" s="112"/>
      <c r="F89" s="134">
        <f t="shared" si="17"/>
        <v>1943</v>
      </c>
      <c r="G89" s="161">
        <v>1943</v>
      </c>
    </row>
    <row r="90" spans="1:7" s="22" customFormat="1" ht="30" customHeight="1" x14ac:dyDescent="0.25">
      <c r="A90" s="372" t="s">
        <v>417</v>
      </c>
      <c r="B90" s="372"/>
      <c r="C90" s="372"/>
      <c r="D90" s="372"/>
      <c r="E90" s="144" t="s">
        <v>418</v>
      </c>
      <c r="F90" s="135">
        <f t="shared" ref="F90:F91" si="18">G90</f>
        <v>485629</v>
      </c>
      <c r="G90" s="135">
        <f>SUM(G91)</f>
        <v>485629</v>
      </c>
    </row>
    <row r="91" spans="1:7" s="22" customFormat="1" x14ac:dyDescent="0.25">
      <c r="A91" s="22" t="s">
        <v>419</v>
      </c>
      <c r="E91" s="153" t="s">
        <v>420</v>
      </c>
      <c r="F91" s="133">
        <f t="shared" si="18"/>
        <v>485629</v>
      </c>
      <c r="G91" s="133">
        <f>SUM(G92:G92)</f>
        <v>485629</v>
      </c>
    </row>
    <row r="92" spans="1:7" x14ac:dyDescent="0.25">
      <c r="A92" s="22" t="s">
        <v>262</v>
      </c>
      <c r="B92" s="22"/>
      <c r="C92" s="22"/>
      <c r="D92" s="22"/>
      <c r="E92" s="112"/>
      <c r="F92" s="134">
        <f t="shared" ref="F92" si="19">SUM(G92)</f>
        <v>485629</v>
      </c>
      <c r="G92" s="162">
        <v>485629</v>
      </c>
    </row>
    <row r="93" spans="1:7" ht="16.5" thickBot="1" x14ac:dyDescent="0.3">
      <c r="A93" s="37" t="s">
        <v>274</v>
      </c>
      <c r="B93" s="37"/>
      <c r="C93" s="37"/>
      <c r="D93" s="37"/>
      <c r="E93" s="155"/>
      <c r="F93" s="156">
        <f>SUM(G93)</f>
        <v>485629</v>
      </c>
      <c r="G93" s="156">
        <f>SUM(G86,G90)</f>
        <v>485629</v>
      </c>
    </row>
    <row r="94" spans="1:7" ht="16.5" thickTop="1" x14ac:dyDescent="0.25">
      <c r="A94" s="35"/>
      <c r="B94" s="35"/>
      <c r="C94" s="35"/>
      <c r="D94" s="35"/>
      <c r="E94" s="157"/>
      <c r="F94" s="158"/>
      <c r="G94" s="158"/>
    </row>
    <row r="95" spans="1:7" x14ac:dyDescent="0.25">
      <c r="A95" s="25" t="s">
        <v>515</v>
      </c>
      <c r="B95" s="26"/>
      <c r="C95" s="26"/>
      <c r="D95" s="46"/>
      <c r="E95" s="27" t="s">
        <v>259</v>
      </c>
      <c r="F95" s="28" t="s">
        <v>260</v>
      </c>
      <c r="G95" s="142" t="s">
        <v>413</v>
      </c>
    </row>
    <row r="96" spans="1:7" x14ac:dyDescent="0.25">
      <c r="A96" s="22" t="s">
        <v>516</v>
      </c>
      <c r="B96" s="22"/>
      <c r="C96" s="22"/>
      <c r="D96" s="22"/>
      <c r="E96" s="30">
        <v>9500</v>
      </c>
      <c r="F96" s="31">
        <f t="shared" ref="F96:F98" si="20">G96</f>
        <v>-31216</v>
      </c>
      <c r="G96" s="31">
        <f>SUM(G97)</f>
        <v>-31216</v>
      </c>
    </row>
    <row r="97" spans="1:7" x14ac:dyDescent="0.25">
      <c r="A97" s="16" t="s">
        <v>517</v>
      </c>
      <c r="B97" s="22"/>
      <c r="C97" s="22"/>
      <c r="D97" s="22"/>
      <c r="E97" s="20">
        <v>9507</v>
      </c>
      <c r="F97" s="21">
        <f t="shared" si="20"/>
        <v>-31216</v>
      </c>
      <c r="G97" s="21">
        <v>-31216</v>
      </c>
    </row>
    <row r="98" spans="1:7" ht="16.5" thickBot="1" x14ac:dyDescent="0.3">
      <c r="A98" s="37" t="s">
        <v>518</v>
      </c>
      <c r="B98" s="37"/>
      <c r="C98" s="37"/>
      <c r="D98" s="37"/>
      <c r="E98" s="42"/>
      <c r="F98" s="43">
        <f t="shared" si="20"/>
        <v>-31216</v>
      </c>
      <c r="G98" s="43">
        <f>SUM(G96)</f>
        <v>-31216</v>
      </c>
    </row>
    <row r="99" spans="1:7" ht="16.5" thickTop="1" x14ac:dyDescent="0.25">
      <c r="A99" s="26"/>
      <c r="B99" s="26"/>
      <c r="C99" s="26"/>
      <c r="D99" s="26"/>
      <c r="E99" s="138"/>
      <c r="F99" s="139"/>
      <c r="G99" s="139"/>
    </row>
    <row r="100" spans="1:7" ht="16.5" thickBot="1" x14ac:dyDescent="0.3">
      <c r="A100" s="165" t="s">
        <v>280</v>
      </c>
      <c r="B100" s="166"/>
      <c r="C100" s="166"/>
      <c r="D100" s="167"/>
      <c r="E100" s="168"/>
      <c r="F100" s="169">
        <f>SUM(G100)</f>
        <v>2261755</v>
      </c>
      <c r="G100" s="169">
        <f>SUM(G78,G93,G98,G83)</f>
        <v>2261755</v>
      </c>
    </row>
    <row r="101" spans="1:7" ht="17.25" thickTop="1" thickBot="1" x14ac:dyDescent="0.3">
      <c r="A101" s="44"/>
      <c r="B101" s="37"/>
      <c r="C101" s="37"/>
      <c r="D101" s="45"/>
      <c r="E101" s="155"/>
      <c r="F101" s="151"/>
      <c r="G101" s="151"/>
    </row>
    <row r="102" spans="1:7" ht="17.25" thickTop="1" thickBot="1" x14ac:dyDescent="0.3">
      <c r="A102" s="44" t="s">
        <v>281</v>
      </c>
      <c r="B102" s="37"/>
      <c r="C102" s="37"/>
      <c r="D102" s="45"/>
      <c r="E102" s="155"/>
      <c r="F102" s="151">
        <f t="shared" ref="F102" si="21">SUM(G102)</f>
        <v>2298496</v>
      </c>
      <c r="G102" s="151">
        <f>SUM(G61,G100)</f>
        <v>2298496</v>
      </c>
    </row>
    <row r="103" spans="1:7" ht="16.5" thickTop="1" x14ac:dyDescent="0.25">
      <c r="A103" s="25"/>
      <c r="B103" s="26"/>
      <c r="C103" s="26"/>
      <c r="D103" s="46"/>
      <c r="E103" s="138"/>
      <c r="F103" s="152"/>
      <c r="G103" s="152"/>
    </row>
    <row r="104" spans="1:7" x14ac:dyDescent="0.25">
      <c r="A104" s="18" t="s">
        <v>282</v>
      </c>
      <c r="B104" s="16"/>
      <c r="C104" s="16"/>
      <c r="D104" s="16"/>
      <c r="E104" s="17"/>
      <c r="F104" s="17"/>
      <c r="G104" s="17"/>
    </row>
    <row r="105" spans="1:7" x14ac:dyDescent="0.25">
      <c r="A105" s="47" t="s">
        <v>283</v>
      </c>
      <c r="B105" s="16"/>
      <c r="C105" s="48"/>
      <c r="D105" s="48"/>
      <c r="E105" s="17"/>
      <c r="F105" s="118"/>
      <c r="G105" s="118"/>
    </row>
    <row r="106" spans="1:7" x14ac:dyDescent="0.25">
      <c r="A106" s="49" t="s">
        <v>288</v>
      </c>
      <c r="B106" s="16"/>
      <c r="C106" s="49"/>
      <c r="D106" s="16"/>
      <c r="E106" s="17"/>
      <c r="F106" s="116"/>
      <c r="G106" s="117">
        <f>SUM(F107:F107)</f>
        <v>36741</v>
      </c>
    </row>
    <row r="107" spans="1:7" x14ac:dyDescent="0.25">
      <c r="A107" s="48" t="s">
        <v>286</v>
      </c>
      <c r="B107" s="16"/>
      <c r="C107" s="48" t="s">
        <v>376</v>
      </c>
      <c r="D107" s="16"/>
      <c r="E107" s="17"/>
      <c r="F107" s="119">
        <v>36741</v>
      </c>
      <c r="G107" s="117"/>
    </row>
    <row r="108" spans="1:7" x14ac:dyDescent="0.25">
      <c r="A108" s="104"/>
      <c r="C108" s="104"/>
      <c r="D108" s="104"/>
      <c r="E108" s="17"/>
      <c r="F108" s="119"/>
      <c r="G108" s="118"/>
    </row>
    <row r="109" spans="1:7" x14ac:dyDescent="0.25">
      <c r="A109" s="49" t="s">
        <v>294</v>
      </c>
      <c r="B109" s="16"/>
      <c r="C109" s="49"/>
      <c r="D109" s="49"/>
      <c r="E109" s="16"/>
      <c r="F109" s="49"/>
      <c r="G109" s="50">
        <f>SUM(F110:F111)</f>
        <v>0</v>
      </c>
    </row>
    <row r="110" spans="1:7" x14ac:dyDescent="0.25">
      <c r="A110" s="48" t="s">
        <v>286</v>
      </c>
      <c r="B110" s="16"/>
      <c r="C110" s="48" t="s">
        <v>262</v>
      </c>
      <c r="D110" s="48"/>
      <c r="E110" s="16"/>
      <c r="F110" s="51">
        <v>-1306</v>
      </c>
      <c r="G110" s="48"/>
    </row>
    <row r="111" spans="1:7" x14ac:dyDescent="0.25">
      <c r="A111" s="48"/>
      <c r="B111" s="16"/>
      <c r="C111" s="48" t="s">
        <v>271</v>
      </c>
      <c r="D111" s="48"/>
      <c r="E111" s="16"/>
      <c r="F111" s="51">
        <v>1306</v>
      </c>
      <c r="G111" s="48"/>
    </row>
    <row r="112" spans="1:7" ht="16.5" thickBot="1" x14ac:dyDescent="0.3">
      <c r="A112" s="52" t="s">
        <v>291</v>
      </c>
      <c r="B112" s="53"/>
      <c r="C112" s="52"/>
      <c r="D112" s="52"/>
      <c r="E112" s="122"/>
      <c r="F112" s="121"/>
      <c r="G112" s="123">
        <f>SUM(G106,G109)</f>
        <v>36741</v>
      </c>
    </row>
    <row r="113" spans="1:7" ht="16.5" thickTop="1" x14ac:dyDescent="0.25">
      <c r="A113" s="108"/>
      <c r="B113" s="106"/>
      <c r="C113" s="108"/>
      <c r="D113" s="108"/>
      <c r="E113" s="114"/>
      <c r="F113" s="124"/>
      <c r="G113" s="126"/>
    </row>
    <row r="114" spans="1:7" x14ac:dyDescent="0.25">
      <c r="A114" s="47" t="s">
        <v>292</v>
      </c>
      <c r="B114" s="16"/>
      <c r="C114" s="49"/>
      <c r="D114" s="49"/>
      <c r="E114" s="17"/>
      <c r="F114" s="116"/>
      <c r="G114" s="116"/>
    </row>
    <row r="115" spans="1:7" x14ac:dyDescent="0.25">
      <c r="A115" s="47" t="s">
        <v>293</v>
      </c>
      <c r="B115" s="16"/>
      <c r="C115" s="49"/>
      <c r="D115" s="49"/>
      <c r="E115" s="17"/>
      <c r="F115" s="116"/>
      <c r="G115" s="116"/>
    </row>
    <row r="116" spans="1:7" x14ac:dyDescent="0.25">
      <c r="A116" s="107"/>
      <c r="C116" s="105"/>
      <c r="D116" s="105"/>
      <c r="E116" s="17"/>
      <c r="F116" s="116"/>
      <c r="G116" s="116"/>
    </row>
    <row r="117" spans="1:7" x14ac:dyDescent="0.25">
      <c r="A117" s="116" t="s">
        <v>284</v>
      </c>
      <c r="B117" s="17"/>
      <c r="C117" s="116"/>
      <c r="D117" s="17"/>
      <c r="E117" s="17"/>
      <c r="F117" s="116"/>
      <c r="G117" s="117">
        <f>SUM(F118)</f>
        <v>0</v>
      </c>
    </row>
    <row r="118" spans="1:7" x14ac:dyDescent="0.25">
      <c r="A118" s="116" t="s">
        <v>285</v>
      </c>
      <c r="B118" s="17"/>
      <c r="C118" s="116"/>
      <c r="D118" s="17"/>
      <c r="E118" s="17"/>
      <c r="F118" s="117">
        <f>SUM(F119:F120)</f>
        <v>0</v>
      </c>
      <c r="G118" s="116"/>
    </row>
    <row r="119" spans="1:7" x14ac:dyDescent="0.25">
      <c r="A119" s="118" t="s">
        <v>286</v>
      </c>
      <c r="B119" s="17"/>
      <c r="C119" s="118" t="s">
        <v>262</v>
      </c>
      <c r="D119" s="118"/>
      <c r="E119" s="17"/>
      <c r="F119" s="119">
        <v>-1943</v>
      </c>
      <c r="G119" s="116"/>
    </row>
    <row r="120" spans="1:7" x14ac:dyDescent="0.25">
      <c r="A120" s="118"/>
      <c r="B120" s="17"/>
      <c r="C120" s="118" t="s">
        <v>272</v>
      </c>
      <c r="D120" s="118"/>
      <c r="E120" s="17"/>
      <c r="F120" s="119">
        <v>1943</v>
      </c>
      <c r="G120" s="116"/>
    </row>
    <row r="121" spans="1:7" x14ac:dyDescent="0.25">
      <c r="A121" s="118"/>
      <c r="B121" s="17"/>
      <c r="C121" s="118"/>
      <c r="D121" s="118"/>
      <c r="E121" s="17"/>
      <c r="F121" s="119"/>
      <c r="G121" s="116"/>
    </row>
    <row r="122" spans="1:7" x14ac:dyDescent="0.25">
      <c r="A122" s="49" t="s">
        <v>288</v>
      </c>
      <c r="B122" s="16"/>
      <c r="C122" s="49"/>
      <c r="D122" s="16"/>
      <c r="E122" s="17"/>
      <c r="F122" s="116"/>
      <c r="G122" s="117">
        <f>SUM(F123:F124)</f>
        <v>-8747</v>
      </c>
    </row>
    <row r="123" spans="1:7" x14ac:dyDescent="0.25">
      <c r="A123" s="48" t="s">
        <v>286</v>
      </c>
      <c r="B123" s="16"/>
      <c r="C123" s="118" t="s">
        <v>262</v>
      </c>
      <c r="D123" s="16"/>
      <c r="E123" s="17"/>
      <c r="F123" s="119">
        <v>-10519</v>
      </c>
      <c r="G123" s="117"/>
    </row>
    <row r="124" spans="1:7" x14ac:dyDescent="0.25">
      <c r="A124" s="48"/>
      <c r="B124" s="16"/>
      <c r="C124" s="48" t="s">
        <v>376</v>
      </c>
      <c r="D124" s="16"/>
      <c r="E124" s="17"/>
      <c r="F124" s="119">
        <v>1772</v>
      </c>
      <c r="G124" s="117"/>
    </row>
    <row r="125" spans="1:7" x14ac:dyDescent="0.25">
      <c r="A125" s="104"/>
      <c r="C125" s="104"/>
      <c r="D125" s="104"/>
      <c r="E125" s="17"/>
      <c r="F125" s="119"/>
      <c r="G125" s="118"/>
    </row>
    <row r="126" spans="1:7" x14ac:dyDescent="0.25">
      <c r="A126" s="49" t="s">
        <v>294</v>
      </c>
      <c r="B126" s="16"/>
      <c r="C126" s="49"/>
      <c r="D126" s="49"/>
      <c r="E126" s="16"/>
      <c r="F126" s="49"/>
      <c r="G126" s="50">
        <f>SUM(F127:F128)</f>
        <v>250</v>
      </c>
    </row>
    <row r="127" spans="1:7" x14ac:dyDescent="0.25">
      <c r="A127" s="48" t="s">
        <v>286</v>
      </c>
      <c r="B127" s="16"/>
      <c r="C127" s="48" t="s">
        <v>262</v>
      </c>
      <c r="D127" s="48"/>
      <c r="E127" s="16"/>
      <c r="F127" s="51">
        <v>250</v>
      </c>
      <c r="G127" s="48"/>
    </row>
    <row r="128" spans="1:7" x14ac:dyDescent="0.25">
      <c r="A128" s="48"/>
      <c r="B128" s="16"/>
      <c r="C128" s="48"/>
      <c r="D128" s="48"/>
      <c r="E128" s="16"/>
      <c r="F128" s="51"/>
      <c r="G128" s="48"/>
    </row>
    <row r="129" spans="1:7" x14ac:dyDescent="0.25">
      <c r="A129" s="48"/>
      <c r="B129" s="16"/>
      <c r="C129" s="48"/>
      <c r="D129" s="48"/>
      <c r="E129" s="16"/>
      <c r="F129" s="51"/>
      <c r="G129" s="48"/>
    </row>
    <row r="130" spans="1:7" x14ac:dyDescent="0.25">
      <c r="A130" s="49" t="s">
        <v>289</v>
      </c>
      <c r="B130" s="16"/>
      <c r="C130" s="48"/>
      <c r="D130" s="48"/>
      <c r="E130" s="17"/>
      <c r="F130" s="119"/>
      <c r="G130" s="117">
        <f>SUM(F131)</f>
        <v>5500</v>
      </c>
    </row>
    <row r="131" spans="1:7" x14ac:dyDescent="0.25">
      <c r="A131" s="49" t="s">
        <v>290</v>
      </c>
      <c r="B131" s="16"/>
      <c r="C131" s="48"/>
      <c r="D131" s="48"/>
      <c r="E131" s="17"/>
      <c r="F131" s="117">
        <f>SUM(F132:F134)</f>
        <v>5500</v>
      </c>
      <c r="G131" s="118"/>
    </row>
    <row r="132" spans="1:7" x14ac:dyDescent="0.25">
      <c r="A132" s="48" t="s">
        <v>286</v>
      </c>
      <c r="B132" s="16"/>
      <c r="C132" s="48" t="s">
        <v>262</v>
      </c>
      <c r="D132" s="48"/>
      <c r="E132" s="17"/>
      <c r="F132" s="119">
        <v>2000</v>
      </c>
      <c r="G132" s="118"/>
    </row>
    <row r="133" spans="1:7" ht="34.5" customHeight="1" x14ac:dyDescent="0.25">
      <c r="A133" s="48"/>
      <c r="B133" s="16"/>
      <c r="C133" s="373" t="s">
        <v>377</v>
      </c>
      <c r="D133" s="373"/>
      <c r="E133" s="373"/>
      <c r="F133" s="119">
        <v>1000</v>
      </c>
      <c r="G133" s="118"/>
    </row>
    <row r="134" spans="1:7" x14ac:dyDescent="0.25">
      <c r="A134" s="48"/>
      <c r="B134" s="16"/>
      <c r="C134" s="48" t="s">
        <v>273</v>
      </c>
      <c r="D134" s="48"/>
      <c r="E134" s="17"/>
      <c r="F134" s="119">
        <v>2500</v>
      </c>
      <c r="G134" s="118"/>
    </row>
    <row r="135" spans="1:7" x14ac:dyDescent="0.25">
      <c r="A135" s="48"/>
      <c r="B135" s="16"/>
      <c r="C135" s="48"/>
      <c r="D135" s="48"/>
      <c r="E135" s="17"/>
      <c r="F135" s="119"/>
      <c r="G135" s="118"/>
    </row>
    <row r="136" spans="1:7" x14ac:dyDescent="0.25">
      <c r="A136" s="55" t="s">
        <v>295</v>
      </c>
      <c r="B136" s="56"/>
      <c r="C136" s="57"/>
      <c r="D136" s="57"/>
      <c r="E136" s="128"/>
      <c r="F136" s="127"/>
      <c r="G136" s="127"/>
    </row>
    <row r="137" spans="1:7" ht="16.5" thickBot="1" x14ac:dyDescent="0.3">
      <c r="A137" s="58" t="s">
        <v>296</v>
      </c>
      <c r="B137" s="59"/>
      <c r="C137" s="60"/>
      <c r="D137" s="60"/>
      <c r="E137" s="130"/>
      <c r="F137" s="129"/>
      <c r="G137" s="131">
        <f>SUM(G117,G122,G126,G130)</f>
        <v>-2997</v>
      </c>
    </row>
    <row r="138" spans="1:7" ht="16.5" thickTop="1" x14ac:dyDescent="0.25">
      <c r="A138" s="319"/>
      <c r="B138" s="22"/>
      <c r="C138" s="54"/>
      <c r="D138" s="54"/>
      <c r="E138" s="114"/>
      <c r="F138" s="124"/>
      <c r="G138" s="126"/>
    </row>
    <row r="139" spans="1:7" x14ac:dyDescent="0.25">
      <c r="A139" s="104"/>
      <c r="C139" s="104"/>
      <c r="D139" s="104"/>
      <c r="E139" s="17"/>
      <c r="F139" s="119"/>
      <c r="G139" s="118"/>
    </row>
    <row r="140" spans="1:7" x14ac:dyDescent="0.25">
      <c r="A140" s="120" t="s">
        <v>297</v>
      </c>
      <c r="B140" s="17"/>
      <c r="C140" s="118"/>
      <c r="D140" s="118"/>
      <c r="E140" s="17"/>
      <c r="F140" s="118"/>
      <c r="G140" s="118"/>
    </row>
    <row r="141" spans="1:7" x14ac:dyDescent="0.25">
      <c r="A141" s="120"/>
      <c r="B141" s="17"/>
      <c r="C141" s="118"/>
      <c r="D141" s="118"/>
      <c r="E141" s="17"/>
      <c r="F141" s="118"/>
      <c r="G141" s="118"/>
    </row>
    <row r="142" spans="1:7" x14ac:dyDescent="0.25">
      <c r="A142" s="116" t="s">
        <v>284</v>
      </c>
      <c r="B142" s="17"/>
      <c r="C142" s="116"/>
      <c r="D142" s="17"/>
      <c r="E142" s="17"/>
      <c r="F142" s="116"/>
      <c r="G142" s="117">
        <f>SUM(F143)</f>
        <v>876871</v>
      </c>
    </row>
    <row r="143" spans="1:7" x14ac:dyDescent="0.25">
      <c r="A143" s="116" t="s">
        <v>285</v>
      </c>
      <c r="B143" s="17"/>
      <c r="C143" s="116"/>
      <c r="D143" s="17"/>
      <c r="E143" s="17"/>
      <c r="F143" s="117">
        <f>SUM(F144:F146)</f>
        <v>876871</v>
      </c>
      <c r="G143" s="116"/>
    </row>
    <row r="144" spans="1:7" x14ac:dyDescent="0.25">
      <c r="A144" s="118" t="s">
        <v>286</v>
      </c>
      <c r="B144" s="17"/>
      <c r="C144" s="118" t="s">
        <v>262</v>
      </c>
      <c r="D144" s="118"/>
      <c r="E144" s="17"/>
      <c r="F144" s="119">
        <v>878723</v>
      </c>
      <c r="G144" s="116"/>
    </row>
    <row r="145" spans="1:7" x14ac:dyDescent="0.25">
      <c r="A145" s="118"/>
      <c r="B145" s="17"/>
      <c r="C145" s="118" t="s">
        <v>421</v>
      </c>
      <c r="D145" s="118"/>
      <c r="E145" s="17"/>
      <c r="F145" s="119">
        <v>648</v>
      </c>
      <c r="G145" s="116"/>
    </row>
    <row r="146" spans="1:7" x14ac:dyDescent="0.25">
      <c r="A146" s="48"/>
      <c r="B146" s="16"/>
      <c r="C146" s="48" t="s">
        <v>452</v>
      </c>
      <c r="D146" s="48"/>
      <c r="E146" s="17"/>
      <c r="F146" s="119">
        <v>-2500</v>
      </c>
      <c r="G146" s="118"/>
    </row>
    <row r="147" spans="1:7" x14ac:dyDescent="0.25">
      <c r="A147" s="118"/>
      <c r="B147" s="17"/>
      <c r="C147" s="118"/>
      <c r="D147" s="118"/>
      <c r="E147" s="17"/>
      <c r="F147" s="119"/>
      <c r="G147" s="116"/>
    </row>
    <row r="148" spans="1:7" x14ac:dyDescent="0.25">
      <c r="A148" s="49" t="s">
        <v>287</v>
      </c>
      <c r="B148" s="16"/>
      <c r="C148" s="49"/>
      <c r="D148" s="16"/>
      <c r="E148" s="17"/>
      <c r="F148" s="116"/>
      <c r="G148" s="117">
        <f>SUM(F149)</f>
        <v>0</v>
      </c>
    </row>
    <row r="149" spans="1:7" x14ac:dyDescent="0.25">
      <c r="A149" s="49" t="s">
        <v>485</v>
      </c>
      <c r="B149" s="16"/>
      <c r="C149" s="49"/>
      <c r="D149" s="16"/>
      <c r="E149" s="17"/>
      <c r="F149" s="117">
        <f>SUM(F150:F151)</f>
        <v>0</v>
      </c>
      <c r="G149" s="116"/>
    </row>
    <row r="150" spans="1:7" x14ac:dyDescent="0.25">
      <c r="A150" s="48" t="s">
        <v>286</v>
      </c>
      <c r="B150" s="16"/>
      <c r="C150" s="118" t="s">
        <v>262</v>
      </c>
      <c r="D150" s="48"/>
      <c r="E150" s="17"/>
      <c r="F150" s="119">
        <v>-3200</v>
      </c>
      <c r="G150" s="118"/>
    </row>
    <row r="151" spans="1:7" x14ac:dyDescent="0.25">
      <c r="A151" s="48"/>
      <c r="B151" s="16"/>
      <c r="C151" s="48" t="s">
        <v>452</v>
      </c>
      <c r="D151" s="48"/>
      <c r="E151" s="17"/>
      <c r="F151" s="119">
        <v>3200</v>
      </c>
      <c r="G151" s="118"/>
    </row>
    <row r="152" spans="1:7" x14ac:dyDescent="0.25">
      <c r="A152" s="48"/>
      <c r="B152" s="16"/>
      <c r="C152" s="118"/>
      <c r="D152" s="48"/>
      <c r="E152" s="17"/>
      <c r="F152" s="119"/>
      <c r="G152" s="118"/>
    </row>
    <row r="153" spans="1:7" x14ac:dyDescent="0.25">
      <c r="A153" s="49" t="s">
        <v>288</v>
      </c>
      <c r="B153" s="16"/>
      <c r="C153" s="49"/>
      <c r="D153" s="16"/>
      <c r="E153" s="17"/>
      <c r="F153" s="116"/>
      <c r="G153" s="117">
        <f>SUM(F154:F155)</f>
        <v>798228</v>
      </c>
    </row>
    <row r="154" spans="1:7" x14ac:dyDescent="0.25">
      <c r="A154" s="48" t="s">
        <v>286</v>
      </c>
      <c r="B154" s="16"/>
      <c r="C154" s="118" t="s">
        <v>262</v>
      </c>
      <c r="D154" s="16"/>
      <c r="E154" s="17"/>
      <c r="F154" s="119">
        <v>800000</v>
      </c>
      <c r="G154" s="117"/>
    </row>
    <row r="155" spans="1:7" x14ac:dyDescent="0.25">
      <c r="A155" s="48"/>
      <c r="B155" s="16"/>
      <c r="C155" s="48" t="s">
        <v>376</v>
      </c>
      <c r="D155" s="16"/>
      <c r="E155" s="17"/>
      <c r="F155" s="119">
        <v>-1772</v>
      </c>
      <c r="G155" s="117"/>
    </row>
    <row r="156" spans="1:7" x14ac:dyDescent="0.25">
      <c r="A156" s="48"/>
      <c r="B156" s="16"/>
      <c r="C156" s="48"/>
      <c r="D156" s="16"/>
      <c r="E156" s="17"/>
      <c r="F156" s="119"/>
      <c r="G156" s="117"/>
    </row>
    <row r="157" spans="1:7" x14ac:dyDescent="0.25">
      <c r="A157" s="49" t="s">
        <v>294</v>
      </c>
      <c r="B157" s="16"/>
      <c r="C157" s="49"/>
      <c r="D157" s="49"/>
      <c r="E157" s="16"/>
      <c r="F157" s="49"/>
      <c r="G157" s="50">
        <f>SUM(F158:F160)</f>
        <v>-250</v>
      </c>
    </row>
    <row r="158" spans="1:7" x14ac:dyDescent="0.25">
      <c r="A158" s="48" t="s">
        <v>286</v>
      </c>
      <c r="B158" s="16"/>
      <c r="C158" s="48" t="s">
        <v>262</v>
      </c>
      <c r="D158" s="48"/>
      <c r="E158" s="16"/>
      <c r="F158" s="51">
        <v>-250</v>
      </c>
      <c r="G158" s="48"/>
    </row>
    <row r="159" spans="1:7" x14ac:dyDescent="0.25">
      <c r="A159" s="48"/>
      <c r="B159" s="16"/>
      <c r="C159" s="48"/>
      <c r="D159" s="48"/>
      <c r="E159" s="16"/>
      <c r="F159" s="51"/>
      <c r="G159" s="48"/>
    </row>
    <row r="160" spans="1:7" x14ac:dyDescent="0.25">
      <c r="A160" s="116" t="s">
        <v>298</v>
      </c>
      <c r="B160" s="17"/>
      <c r="C160" s="116"/>
      <c r="D160" s="116"/>
      <c r="E160" s="17"/>
      <c r="F160" s="116"/>
      <c r="G160" s="116"/>
    </row>
    <row r="161" spans="1:7" x14ac:dyDescent="0.25">
      <c r="A161" s="116" t="s">
        <v>299</v>
      </c>
      <c r="B161" s="17"/>
      <c r="C161" s="116"/>
      <c r="D161" s="116"/>
      <c r="E161" s="17"/>
      <c r="F161" s="116"/>
      <c r="G161" s="117">
        <f>SUM(F163,F167)</f>
        <v>588675</v>
      </c>
    </row>
    <row r="162" spans="1:7" x14ac:dyDescent="0.25">
      <c r="A162" s="85" t="s">
        <v>300</v>
      </c>
      <c r="B162" s="17"/>
      <c r="C162" s="116"/>
      <c r="D162" s="17"/>
      <c r="E162" s="17"/>
      <c r="F162" s="17"/>
      <c r="G162" s="117"/>
    </row>
    <row r="163" spans="1:7" x14ac:dyDescent="0.25">
      <c r="A163" s="85" t="s">
        <v>301</v>
      </c>
      <c r="B163" s="17"/>
      <c r="C163" s="17"/>
      <c r="D163" s="17"/>
      <c r="E163" s="17"/>
      <c r="F163" s="117">
        <f>SUM(F164:F165)</f>
        <v>96274</v>
      </c>
      <c r="G163" s="117"/>
    </row>
    <row r="164" spans="1:7" x14ac:dyDescent="0.25">
      <c r="A164" s="118" t="s">
        <v>286</v>
      </c>
      <c r="B164" s="17"/>
      <c r="C164" s="118" t="s">
        <v>262</v>
      </c>
      <c r="D164" s="118"/>
      <c r="E164" s="17"/>
      <c r="F164" s="119">
        <v>96922</v>
      </c>
      <c r="G164" s="118"/>
    </row>
    <row r="165" spans="1:7" x14ac:dyDescent="0.25">
      <c r="A165" s="118"/>
      <c r="B165" s="17"/>
      <c r="C165" s="118" t="s">
        <v>421</v>
      </c>
      <c r="D165" s="118"/>
      <c r="E165" s="17"/>
      <c r="F165" s="119">
        <v>-648</v>
      </c>
      <c r="G165"/>
    </row>
    <row r="166" spans="1:7" x14ac:dyDescent="0.25">
      <c r="A166" s="118"/>
      <c r="B166" s="17"/>
      <c r="C166" s="118"/>
      <c r="D166" s="118"/>
      <c r="E166" s="17"/>
      <c r="F166" s="119"/>
      <c r="G166" s="118"/>
    </row>
    <row r="167" spans="1:7" x14ac:dyDescent="0.25">
      <c r="A167" s="85" t="s">
        <v>302</v>
      </c>
      <c r="B167" s="17"/>
      <c r="C167" s="116"/>
      <c r="D167" s="17"/>
      <c r="E167" s="17"/>
      <c r="F167" s="117">
        <f>SUM(F168:F170)</f>
        <v>492401</v>
      </c>
      <c r="G167" s="117"/>
    </row>
    <row r="168" spans="1:7" x14ac:dyDescent="0.25">
      <c r="A168" s="118" t="s">
        <v>286</v>
      </c>
      <c r="B168" s="17"/>
      <c r="C168" s="118" t="s">
        <v>262</v>
      </c>
      <c r="D168" s="118"/>
      <c r="E168" s="17"/>
      <c r="F168" s="119">
        <v>498101</v>
      </c>
      <c r="G168" s="118"/>
    </row>
    <row r="169" spans="1:7" x14ac:dyDescent="0.25">
      <c r="A169" s="118"/>
      <c r="B169" s="17"/>
      <c r="C169" s="48" t="s">
        <v>452</v>
      </c>
      <c r="D169" s="118"/>
      <c r="E169" s="17"/>
      <c r="F169" s="119">
        <v>-3200</v>
      </c>
      <c r="G169" s="17"/>
    </row>
    <row r="170" spans="1:7" x14ac:dyDescent="0.25">
      <c r="A170" s="118"/>
      <c r="B170" s="17"/>
      <c r="C170" s="48" t="s">
        <v>273</v>
      </c>
      <c r="D170" s="118"/>
      <c r="E170" s="17"/>
      <c r="F170" s="119">
        <v>-2500</v>
      </c>
      <c r="G170" s="17"/>
    </row>
    <row r="171" spans="1:7" x14ac:dyDescent="0.25">
      <c r="A171" s="118"/>
      <c r="B171" s="17"/>
      <c r="C171" s="115"/>
      <c r="D171" s="17"/>
      <c r="E171" s="17"/>
      <c r="F171" s="119"/>
      <c r="G171" s="117"/>
    </row>
    <row r="172" spans="1:7" x14ac:dyDescent="0.25">
      <c r="A172" s="116" t="s">
        <v>289</v>
      </c>
      <c r="B172" s="17"/>
      <c r="C172" s="118"/>
      <c r="D172" s="118"/>
      <c r="E172" s="17"/>
      <c r="F172" s="119"/>
      <c r="G172" s="117">
        <f>SUM(F173)</f>
        <v>500</v>
      </c>
    </row>
    <row r="173" spans="1:7" x14ac:dyDescent="0.25">
      <c r="A173" s="116" t="s">
        <v>290</v>
      </c>
      <c r="B173" s="17"/>
      <c r="C173" s="118"/>
      <c r="D173" s="118"/>
      <c r="E173" s="17"/>
      <c r="F173" s="117">
        <f>SUM(F174:F176)</f>
        <v>500</v>
      </c>
      <c r="G173" s="118"/>
    </row>
    <row r="174" spans="1:7" x14ac:dyDescent="0.25">
      <c r="A174" s="118" t="s">
        <v>286</v>
      </c>
      <c r="B174" s="17"/>
      <c r="C174" s="118" t="s">
        <v>262</v>
      </c>
      <c r="D174" s="118"/>
      <c r="E174" s="17"/>
      <c r="F174" s="119">
        <v>-2000</v>
      </c>
      <c r="G174" s="118"/>
    </row>
    <row r="175" spans="1:7" x14ac:dyDescent="0.25">
      <c r="A175" s="118"/>
      <c r="B175" s="17"/>
      <c r="C175" s="48" t="s">
        <v>452</v>
      </c>
      <c r="D175" s="118"/>
      <c r="E175" s="17"/>
      <c r="F175" s="119">
        <v>2500</v>
      </c>
      <c r="G175" s="17"/>
    </row>
    <row r="176" spans="1:7" x14ac:dyDescent="0.25">
      <c r="A176" s="118"/>
      <c r="B176" s="17"/>
      <c r="C176" s="118"/>
      <c r="D176" s="118"/>
      <c r="E176" s="17"/>
      <c r="F176" s="119"/>
      <c r="G176" s="118"/>
    </row>
    <row r="177" spans="1:7" x14ac:dyDescent="0.25">
      <c r="A177" s="116" t="s">
        <v>454</v>
      </c>
      <c r="B177" s="17"/>
      <c r="C177" s="116"/>
      <c r="D177" s="17"/>
      <c r="E177" s="17"/>
      <c r="F177" s="116"/>
      <c r="G177" s="117">
        <f>SUM(F178,F182)</f>
        <v>728</v>
      </c>
    </row>
    <row r="178" spans="1:7" x14ac:dyDescent="0.25">
      <c r="A178" s="116" t="s">
        <v>486</v>
      </c>
      <c r="B178" s="17"/>
      <c r="C178" s="116"/>
      <c r="D178" s="17"/>
      <c r="E178" s="17"/>
      <c r="F178" s="117">
        <f>SUM(F179:F180)</f>
        <v>10000</v>
      </c>
      <c r="G178" s="116"/>
    </row>
    <row r="179" spans="1:7" x14ac:dyDescent="0.25">
      <c r="A179" s="118" t="s">
        <v>286</v>
      </c>
      <c r="B179" s="17"/>
      <c r="C179" s="118" t="s">
        <v>262</v>
      </c>
      <c r="D179" s="17"/>
      <c r="E179" s="17"/>
      <c r="F179" s="119">
        <v>10000</v>
      </c>
      <c r="G179" s="118"/>
    </row>
    <row r="180" spans="1:7" x14ac:dyDescent="0.25">
      <c r="A180" s="118"/>
      <c r="B180" s="17"/>
      <c r="C180" s="118" t="s">
        <v>272</v>
      </c>
      <c r="D180" s="118"/>
      <c r="E180" s="17"/>
      <c r="F180" s="119"/>
      <c r="G180" s="17"/>
    </row>
    <row r="181" spans="1:7" x14ac:dyDescent="0.25">
      <c r="A181" s="118"/>
      <c r="B181" s="17"/>
      <c r="C181" s="115"/>
      <c r="D181" s="118"/>
      <c r="E181" s="17"/>
      <c r="F181" s="119"/>
      <c r="G181" s="118"/>
    </row>
    <row r="182" spans="1:7" x14ac:dyDescent="0.25">
      <c r="A182" s="116" t="s">
        <v>455</v>
      </c>
      <c r="B182" s="17"/>
      <c r="C182" s="116"/>
      <c r="D182" s="17"/>
      <c r="E182" s="17"/>
      <c r="F182" s="117">
        <f>SUM(F183:F183)</f>
        <v>-9272</v>
      </c>
      <c r="G182" s="116"/>
    </row>
    <row r="183" spans="1:7" x14ac:dyDescent="0.25">
      <c r="A183" s="118" t="s">
        <v>286</v>
      </c>
      <c r="B183" s="17"/>
      <c r="C183" s="118" t="s">
        <v>262</v>
      </c>
      <c r="D183" s="17"/>
      <c r="E183" s="17"/>
      <c r="F183" s="119">
        <v>-9272</v>
      </c>
      <c r="G183" s="17"/>
    </row>
    <row r="184" spans="1:7" x14ac:dyDescent="0.25">
      <c r="A184" s="118"/>
      <c r="B184" s="17"/>
      <c r="C184" s="118"/>
      <c r="D184" s="118"/>
      <c r="E184" s="17"/>
      <c r="F184" s="119"/>
      <c r="G184" s="17"/>
    </row>
    <row r="185" spans="1:7" ht="16.5" thickBot="1" x14ac:dyDescent="0.3">
      <c r="A185" s="121" t="s">
        <v>303</v>
      </c>
      <c r="B185" s="122"/>
      <c r="C185" s="121"/>
      <c r="D185" s="121"/>
      <c r="E185" s="122"/>
      <c r="F185" s="121"/>
      <c r="G185" s="123">
        <f>SUM(G142,G148,G153,G157,G161,G172,G177)</f>
        <v>2264752</v>
      </c>
    </row>
    <row r="186" spans="1:7" ht="16.5" thickTop="1" x14ac:dyDescent="0.25">
      <c r="A186" s="124"/>
      <c r="B186" s="17"/>
      <c r="C186" s="124"/>
      <c r="D186" s="124"/>
      <c r="E186" s="125"/>
      <c r="F186" s="124"/>
      <c r="G186" s="126"/>
    </row>
    <row r="187" spans="1:7" x14ac:dyDescent="0.25">
      <c r="A187" s="127" t="s">
        <v>304</v>
      </c>
      <c r="B187" s="128"/>
      <c r="C187" s="127"/>
      <c r="D187" s="127"/>
      <c r="E187" s="128"/>
      <c r="F187" s="127"/>
      <c r="G187" s="127"/>
    </row>
    <row r="188" spans="1:7" ht="16.5" thickBot="1" x14ac:dyDescent="0.3">
      <c r="A188" s="129" t="s">
        <v>305</v>
      </c>
      <c r="B188" s="130"/>
      <c r="C188" s="129"/>
      <c r="D188" s="129"/>
      <c r="E188" s="130"/>
      <c r="F188" s="129"/>
      <c r="G188" s="131">
        <f>SUM(G185,G137)</f>
        <v>2261755</v>
      </c>
    </row>
    <row r="189" spans="1:7" ht="16.5" thickTop="1" x14ac:dyDescent="0.25">
      <c r="A189" s="124"/>
      <c r="B189" s="17"/>
      <c r="C189" s="124"/>
      <c r="D189" s="124"/>
      <c r="E189" s="114"/>
      <c r="F189" s="124"/>
      <c r="G189" s="126"/>
    </row>
    <row r="190" spans="1:7" ht="16.5" thickBot="1" x14ac:dyDescent="0.3">
      <c r="A190" s="121" t="s">
        <v>10</v>
      </c>
      <c r="B190" s="122"/>
      <c r="C190" s="121"/>
      <c r="D190" s="121"/>
      <c r="E190" s="122"/>
      <c r="F190" s="121"/>
      <c r="G190" s="123">
        <f>SUM(G188,G112)</f>
        <v>2298496</v>
      </c>
    </row>
    <row r="191" spans="1:7" ht="16.5" thickTop="1" x14ac:dyDescent="0.25">
      <c r="A191" s="25"/>
      <c r="B191" s="26"/>
      <c r="C191" s="26"/>
      <c r="D191" s="46"/>
      <c r="E191" s="138"/>
      <c r="F191" s="152"/>
      <c r="G191" s="152"/>
    </row>
    <row r="192" spans="1:7" x14ac:dyDescent="0.25">
      <c r="A192" s="25"/>
      <c r="B192" s="26"/>
      <c r="C192" s="26"/>
      <c r="D192" s="46"/>
      <c r="E192" s="138"/>
      <c r="F192" s="152"/>
      <c r="G192" s="152"/>
    </row>
    <row r="193" spans="1:7" x14ac:dyDescent="0.25">
      <c r="A193" s="16"/>
      <c r="B193" s="48" t="s">
        <v>391</v>
      </c>
      <c r="C193" s="16"/>
      <c r="D193" s="48"/>
      <c r="E193" s="48"/>
      <c r="F193" s="16"/>
      <c r="G193" s="61"/>
    </row>
    <row r="194" spans="1:7" x14ac:dyDescent="0.25">
      <c r="A194" s="48" t="s">
        <v>386</v>
      </c>
      <c r="B194" s="16"/>
      <c r="C194" s="16"/>
      <c r="D194" s="48"/>
      <c r="E194" s="48"/>
      <c r="F194" s="16"/>
      <c r="G194" s="61"/>
    </row>
    <row r="195" spans="1:7" x14ac:dyDescent="0.25">
      <c r="A195" s="104"/>
      <c r="D195" s="104"/>
      <c r="E195" s="104"/>
      <c r="G195" s="72"/>
    </row>
    <row r="196" spans="1:7" x14ac:dyDescent="0.25">
      <c r="A196" s="104"/>
      <c r="D196" s="104"/>
      <c r="E196" s="104"/>
      <c r="G196" s="72"/>
    </row>
    <row r="197" spans="1:7" x14ac:dyDescent="0.25">
      <c r="A197" s="104"/>
      <c r="B197" s="16" t="s">
        <v>541</v>
      </c>
      <c r="D197" s="104"/>
      <c r="E197" s="104"/>
      <c r="G197" s="72"/>
    </row>
    <row r="198" spans="1:7" x14ac:dyDescent="0.25">
      <c r="A198" s="104"/>
      <c r="D198" s="104"/>
      <c r="E198" s="104"/>
      <c r="G198" s="72"/>
    </row>
    <row r="199" spans="1:7" x14ac:dyDescent="0.25">
      <c r="A199" s="104"/>
      <c r="B199" s="13" t="s">
        <v>542</v>
      </c>
      <c r="D199" s="104"/>
      <c r="E199" s="104"/>
      <c r="G199" s="72"/>
    </row>
    <row r="200" spans="1:7" x14ac:dyDescent="0.25">
      <c r="A200" s="16"/>
      <c r="B200" s="48" t="s">
        <v>574</v>
      </c>
      <c r="C200" s="16"/>
      <c r="D200" s="16"/>
      <c r="E200" s="16"/>
      <c r="F200" s="16"/>
      <c r="G200" s="16"/>
    </row>
    <row r="201" spans="1:7" x14ac:dyDescent="0.25">
      <c r="A201" s="16" t="s">
        <v>575</v>
      </c>
      <c r="B201" s="16"/>
      <c r="C201" s="16"/>
      <c r="D201" s="16"/>
      <c r="E201" s="16"/>
      <c r="F201" s="16"/>
      <c r="G201" s="61"/>
    </row>
    <row r="202" spans="1:7" x14ac:dyDescent="0.25">
      <c r="A202" s="16" t="s">
        <v>576</v>
      </c>
      <c r="B202" s="16"/>
      <c r="C202" s="16"/>
      <c r="D202" s="16"/>
      <c r="E202" s="16"/>
      <c r="F202" s="16"/>
      <c r="G202" s="61"/>
    </row>
    <row r="203" spans="1:7" x14ac:dyDescent="0.25">
      <c r="A203" s="16" t="s">
        <v>577</v>
      </c>
      <c r="B203" s="16"/>
      <c r="C203" s="16"/>
      <c r="D203" s="16"/>
      <c r="E203" s="16"/>
      <c r="F203" s="16"/>
      <c r="G203" s="61"/>
    </row>
    <row r="204" spans="1:7" x14ac:dyDescent="0.25">
      <c r="A204" s="16" t="s">
        <v>578</v>
      </c>
      <c r="B204" s="16"/>
      <c r="C204" s="16"/>
      <c r="D204" s="16"/>
      <c r="E204" s="16"/>
      <c r="F204" s="16"/>
      <c r="G204" s="61"/>
    </row>
    <row r="205" spans="1:7" x14ac:dyDescent="0.25">
      <c r="A205" s="16"/>
      <c r="B205" s="16"/>
      <c r="C205" s="16"/>
      <c r="D205" s="16"/>
      <c r="E205" s="16"/>
      <c r="F205" s="16"/>
      <c r="G205" s="61"/>
    </row>
    <row r="206" spans="1:7" x14ac:dyDescent="0.25">
      <c r="A206" s="16"/>
      <c r="B206" s="16"/>
      <c r="C206" s="16"/>
      <c r="D206" s="16"/>
      <c r="E206" s="16"/>
      <c r="F206" s="16"/>
      <c r="G206" s="61"/>
    </row>
    <row r="207" spans="1:7" x14ac:dyDescent="0.25">
      <c r="A207" s="104"/>
      <c r="B207" s="13" t="s">
        <v>543</v>
      </c>
      <c r="D207" s="104"/>
      <c r="E207" s="104"/>
      <c r="G207" s="72"/>
    </row>
    <row r="208" spans="1:7" x14ac:dyDescent="0.25">
      <c r="A208" s="16"/>
      <c r="B208" s="48" t="s">
        <v>579</v>
      </c>
      <c r="C208" s="16"/>
      <c r="D208" s="16"/>
      <c r="E208" s="16"/>
      <c r="F208" s="16"/>
      <c r="G208" s="16"/>
    </row>
    <row r="209" spans="1:7" x14ac:dyDescent="0.25">
      <c r="A209" s="16" t="s">
        <v>580</v>
      </c>
      <c r="B209" s="16"/>
      <c r="C209" s="16"/>
      <c r="D209" s="16"/>
      <c r="E209" s="16"/>
      <c r="F209" s="16"/>
      <c r="G209" s="61"/>
    </row>
    <row r="210" spans="1:7" x14ac:dyDescent="0.25">
      <c r="A210" s="16" t="s">
        <v>581</v>
      </c>
      <c r="B210" s="16"/>
      <c r="C210" s="16"/>
      <c r="D210" s="16"/>
      <c r="E210" s="16"/>
      <c r="F210" s="16"/>
      <c r="G210" s="61"/>
    </row>
    <row r="211" spans="1:7" x14ac:dyDescent="0.25">
      <c r="A211" s="16" t="s">
        <v>582</v>
      </c>
      <c r="B211" s="16"/>
      <c r="C211" s="16"/>
      <c r="D211" s="16"/>
      <c r="E211" s="16"/>
      <c r="F211" s="16"/>
      <c r="G211" s="61"/>
    </row>
    <row r="212" spans="1:7" x14ac:dyDescent="0.25">
      <c r="A212" s="16" t="s">
        <v>583</v>
      </c>
      <c r="B212" s="16"/>
      <c r="C212" s="16"/>
      <c r="D212" s="16"/>
      <c r="E212" s="16"/>
      <c r="F212" s="16"/>
      <c r="G212" s="61"/>
    </row>
    <row r="213" spans="1:7" x14ac:dyDescent="0.25">
      <c r="A213" s="16"/>
      <c r="B213" s="16" t="s">
        <v>645</v>
      </c>
      <c r="C213" s="16"/>
      <c r="D213" s="16"/>
      <c r="E213" s="16"/>
      <c r="F213" s="16"/>
      <c r="G213" s="61"/>
    </row>
    <row r="214" spans="1:7" x14ac:dyDescent="0.25">
      <c r="A214" s="16"/>
      <c r="B214" s="16"/>
      <c r="C214" s="16"/>
      <c r="D214" s="16"/>
      <c r="E214" s="16"/>
      <c r="F214" s="16"/>
      <c r="G214" s="61"/>
    </row>
    <row r="215" spans="1:7" x14ac:dyDescent="0.25">
      <c r="A215" s="16"/>
      <c r="B215" s="48" t="s">
        <v>584</v>
      </c>
      <c r="C215" s="16"/>
      <c r="D215" s="16"/>
      <c r="E215" s="16"/>
      <c r="F215" s="16"/>
      <c r="G215" s="74"/>
    </row>
    <row r="216" spans="1:7" x14ac:dyDescent="0.25">
      <c r="A216" s="48" t="s">
        <v>585</v>
      </c>
      <c r="B216" s="16"/>
      <c r="C216" s="16"/>
      <c r="D216" s="16"/>
      <c r="E216" s="16"/>
      <c r="F216" s="16"/>
      <c r="G216" s="74"/>
    </row>
    <row r="217" spans="1:7" x14ac:dyDescent="0.25">
      <c r="A217" s="16" t="s">
        <v>586</v>
      </c>
      <c r="B217" s="16"/>
      <c r="C217" s="16"/>
      <c r="D217" s="16"/>
      <c r="E217" s="16"/>
      <c r="F217" s="16"/>
      <c r="G217" s="74"/>
    </row>
    <row r="218" spans="1:7" x14ac:dyDescent="0.25">
      <c r="A218" s="16"/>
      <c r="B218" s="16" t="s">
        <v>645</v>
      </c>
      <c r="C218" s="16"/>
      <c r="D218" s="16"/>
      <c r="E218" s="16"/>
      <c r="F218" s="16"/>
      <c r="G218" s="61"/>
    </row>
    <row r="219" spans="1:7" x14ac:dyDescent="0.25">
      <c r="A219" s="16"/>
      <c r="B219" s="16"/>
      <c r="C219" s="16"/>
      <c r="D219" s="16"/>
      <c r="E219" s="16"/>
      <c r="F219" s="16"/>
      <c r="G219" s="74"/>
    </row>
    <row r="220" spans="1:7" x14ac:dyDescent="0.25">
      <c r="A220" s="16"/>
      <c r="B220" s="48" t="s">
        <v>568</v>
      </c>
      <c r="C220" s="16"/>
      <c r="D220" s="16"/>
      <c r="E220" s="16"/>
      <c r="F220" s="16"/>
      <c r="G220" s="74"/>
    </row>
    <row r="221" spans="1:7" x14ac:dyDescent="0.25">
      <c r="A221" s="48" t="s">
        <v>569</v>
      </c>
      <c r="B221" s="16"/>
      <c r="C221" s="16"/>
      <c r="D221" s="16"/>
      <c r="E221" s="16"/>
      <c r="F221" s="16"/>
      <c r="G221" s="74"/>
    </row>
    <row r="222" spans="1:7" x14ac:dyDescent="0.25">
      <c r="A222" s="16" t="s">
        <v>567</v>
      </c>
      <c r="B222" s="16"/>
      <c r="C222" s="16"/>
      <c r="D222" s="16"/>
      <c r="E222" s="16"/>
      <c r="F222" s="16"/>
      <c r="G222" s="74"/>
    </row>
    <row r="223" spans="1:7" x14ac:dyDescent="0.25">
      <c r="A223" s="16"/>
      <c r="B223" s="16" t="s">
        <v>645</v>
      </c>
      <c r="C223" s="16"/>
      <c r="D223" s="16"/>
      <c r="E223" s="16"/>
      <c r="F223" s="16"/>
      <c r="G223" s="61"/>
    </row>
    <row r="224" spans="1:7" x14ac:dyDescent="0.25">
      <c r="A224" s="16"/>
      <c r="B224" s="16"/>
      <c r="C224" s="16"/>
      <c r="D224" s="16"/>
      <c r="E224" s="16"/>
      <c r="F224" s="16"/>
      <c r="G224" s="74"/>
    </row>
    <row r="225" spans="1:9" x14ac:dyDescent="0.25">
      <c r="A225" s="16"/>
      <c r="B225" s="16" t="s">
        <v>635</v>
      </c>
      <c r="C225" s="16"/>
      <c r="D225" s="16"/>
      <c r="E225" s="16"/>
      <c r="F225" s="16"/>
      <c r="G225" s="74"/>
    </row>
    <row r="226" spans="1:9" x14ac:dyDescent="0.25">
      <c r="A226" s="16" t="s">
        <v>636</v>
      </c>
      <c r="B226" s="16"/>
      <c r="C226" s="16"/>
      <c r="D226" s="16"/>
      <c r="E226" s="16"/>
      <c r="F226" s="16"/>
      <c r="G226" s="74"/>
    </row>
    <row r="227" spans="1:9" x14ac:dyDescent="0.25">
      <c r="A227" s="16"/>
      <c r="B227" s="16"/>
      <c r="C227" s="16"/>
      <c r="D227" s="16"/>
      <c r="E227" s="16"/>
      <c r="F227" s="16"/>
      <c r="G227" s="74"/>
    </row>
    <row r="228" spans="1:9" x14ac:dyDescent="0.25">
      <c r="A228" s="16"/>
      <c r="B228" s="16"/>
      <c r="C228" s="16"/>
      <c r="D228" s="16"/>
      <c r="E228" s="16"/>
      <c r="F228" s="16"/>
      <c r="G228" s="74"/>
    </row>
    <row r="229" spans="1:9" s="13" customFormat="1" x14ac:dyDescent="0.25">
      <c r="A229" s="109" t="s">
        <v>570</v>
      </c>
      <c r="C229" s="85"/>
      <c r="D229" s="85"/>
      <c r="E229" s="85"/>
      <c r="F229" s="209"/>
      <c r="G229" s="210"/>
      <c r="H229" s="210"/>
      <c r="I229" s="210"/>
    </row>
    <row r="230" spans="1:9" s="17" customFormat="1" x14ac:dyDescent="0.25">
      <c r="A230" s="16"/>
    </row>
    <row r="231" spans="1:9" s="17" customFormat="1" x14ac:dyDescent="0.25">
      <c r="A231" s="16"/>
      <c r="C231" s="16"/>
      <c r="D231" s="16"/>
      <c r="E231" s="16"/>
      <c r="F231" s="16"/>
    </row>
    <row r="232" spans="1:9" s="17" customFormat="1" x14ac:dyDescent="0.25">
      <c r="B232" s="88" t="s">
        <v>458</v>
      </c>
      <c r="C232" s="89"/>
      <c r="D232" s="90"/>
      <c r="E232" s="91"/>
      <c r="F232" s="92" t="s">
        <v>254</v>
      </c>
      <c r="G232" s="92" t="s">
        <v>282</v>
      </c>
    </row>
    <row r="233" spans="1:9" s="17" customFormat="1" x14ac:dyDescent="0.25">
      <c r="B233" s="93" t="s">
        <v>459</v>
      </c>
      <c r="C233" s="89"/>
      <c r="D233" s="90"/>
      <c r="E233" s="91"/>
      <c r="F233" s="94">
        <v>0</v>
      </c>
      <c r="G233" s="94">
        <v>0</v>
      </c>
    </row>
    <row r="234" spans="1:9" s="17" customFormat="1" x14ac:dyDescent="0.25">
      <c r="B234" s="95" t="s">
        <v>460</v>
      </c>
      <c r="C234" s="96"/>
      <c r="D234" s="97"/>
      <c r="E234" s="98"/>
      <c r="F234" s="99">
        <v>5938</v>
      </c>
      <c r="G234" s="99">
        <v>5938</v>
      </c>
    </row>
    <row r="235" spans="1:9" s="17" customFormat="1" x14ac:dyDescent="0.25">
      <c r="B235" s="95" t="s">
        <v>461</v>
      </c>
      <c r="C235" s="96"/>
      <c r="D235" s="97"/>
      <c r="E235" s="98"/>
      <c r="F235" s="99">
        <v>0</v>
      </c>
      <c r="G235" s="99">
        <v>0</v>
      </c>
    </row>
    <row r="236" spans="1:9" s="17" customFormat="1" x14ac:dyDescent="0.25">
      <c r="B236" s="95" t="s">
        <v>462</v>
      </c>
      <c r="C236" s="96"/>
      <c r="D236" s="97"/>
      <c r="E236" s="98"/>
      <c r="F236" s="99">
        <v>0</v>
      </c>
      <c r="G236" s="99">
        <v>0</v>
      </c>
    </row>
    <row r="237" spans="1:9" s="85" customFormat="1" x14ac:dyDescent="0.25">
      <c r="B237" s="100" t="s">
        <v>393</v>
      </c>
      <c r="C237" s="101"/>
      <c r="D237" s="33"/>
      <c r="E237" s="102"/>
      <c r="F237" s="103">
        <f>SUM(F233:F236)</f>
        <v>5938</v>
      </c>
      <c r="G237" s="103">
        <f>SUM(G233:G236)</f>
        <v>5938</v>
      </c>
    </row>
    <row r="238" spans="1:9" s="17" customFormat="1" x14ac:dyDescent="0.25">
      <c r="A238" s="16"/>
      <c r="C238" s="16"/>
      <c r="D238" s="16"/>
      <c r="E238" s="16"/>
      <c r="F238" s="16"/>
    </row>
    <row r="239" spans="1:9" s="17" customFormat="1" x14ac:dyDescent="0.25">
      <c r="A239" s="16"/>
      <c r="C239" s="16"/>
      <c r="D239" s="16"/>
      <c r="E239" s="16"/>
      <c r="F239" s="16"/>
    </row>
    <row r="240" spans="1:9" s="17" customFormat="1" x14ac:dyDescent="0.25">
      <c r="A240" s="16"/>
      <c r="C240" s="16"/>
      <c r="D240" s="16"/>
      <c r="E240" s="16"/>
      <c r="F240" s="16"/>
    </row>
    <row r="241" spans="1:7" x14ac:dyDescent="0.25">
      <c r="A241" s="13" t="s">
        <v>631</v>
      </c>
      <c r="B241" s="16"/>
      <c r="C241" s="16"/>
      <c r="D241" s="16"/>
      <c r="E241" s="16"/>
      <c r="G241" s="61"/>
    </row>
    <row r="242" spans="1:7" x14ac:dyDescent="0.25">
      <c r="A242" s="13" t="s">
        <v>387</v>
      </c>
      <c r="B242" s="16"/>
      <c r="C242" s="16"/>
      <c r="D242" s="16"/>
      <c r="E242" s="13"/>
      <c r="F242" s="73"/>
      <c r="G242" s="61"/>
    </row>
    <row r="243" spans="1:7" x14ac:dyDescent="0.25">
      <c r="A243" s="15" t="s">
        <v>388</v>
      </c>
      <c r="B243" s="16"/>
      <c r="C243" s="16"/>
      <c r="D243" s="16"/>
      <c r="E243" s="15"/>
      <c r="F243" s="63"/>
      <c r="G243" s="61"/>
    </row>
    <row r="244" spans="1:7" x14ac:dyDescent="0.25">
      <c r="A244" s="15" t="s">
        <v>644</v>
      </c>
      <c r="B244" s="16"/>
      <c r="C244" s="16"/>
      <c r="D244" s="16"/>
      <c r="E244" s="15"/>
      <c r="F244" s="63"/>
      <c r="G244" s="61"/>
    </row>
    <row r="245" spans="1:7" s="212" customFormat="1" ht="14.25" x14ac:dyDescent="0.2">
      <c r="A245" s="216"/>
      <c r="E245" s="216"/>
      <c r="F245" s="217"/>
      <c r="G245" s="220"/>
    </row>
    <row r="246" spans="1:7" x14ac:dyDescent="0.25">
      <c r="A246" s="16" t="s">
        <v>201</v>
      </c>
      <c r="B246" s="16"/>
      <c r="C246" s="16"/>
      <c r="D246" s="16"/>
      <c r="E246" s="16"/>
      <c r="F246" s="16"/>
      <c r="G246" s="61"/>
    </row>
    <row r="247" spans="1:7" x14ac:dyDescent="0.25">
      <c r="A247" s="13" t="s">
        <v>306</v>
      </c>
      <c r="B247" s="16"/>
      <c r="C247" s="16"/>
      <c r="D247" s="16"/>
      <c r="E247" s="64"/>
      <c r="F247" s="86"/>
      <c r="G247" s="61"/>
    </row>
    <row r="248" spans="1:7" x14ac:dyDescent="0.25">
      <c r="A248" s="15" t="s">
        <v>307</v>
      </c>
      <c r="B248" s="16"/>
      <c r="C248" s="16"/>
      <c r="D248" s="16"/>
      <c r="E248" s="65"/>
      <c r="F248" s="87"/>
      <c r="G248" s="61"/>
    </row>
    <row r="249" spans="1:7" x14ac:dyDescent="0.25">
      <c r="A249" s="16"/>
      <c r="B249" s="16"/>
      <c r="C249" s="16"/>
      <c r="D249" s="16"/>
      <c r="E249" s="16"/>
      <c r="F249" s="16"/>
      <c r="G249" s="61"/>
    </row>
    <row r="250" spans="1:7" x14ac:dyDescent="0.25">
      <c r="A250" s="75" t="s">
        <v>389</v>
      </c>
      <c r="B250" s="16"/>
      <c r="C250" s="16"/>
      <c r="D250" s="16"/>
      <c r="E250" s="16"/>
      <c r="F250" s="16"/>
      <c r="G250" s="61"/>
    </row>
    <row r="251" spans="1:7" x14ac:dyDescent="0.25">
      <c r="A251" s="76" t="s">
        <v>390</v>
      </c>
      <c r="B251" s="16"/>
      <c r="C251" s="16"/>
      <c r="D251" s="16"/>
      <c r="E251" s="16"/>
      <c r="F251" s="16"/>
      <c r="G251" s="61"/>
    </row>
    <row r="252" spans="1:7" x14ac:dyDescent="0.25">
      <c r="A252" s="16"/>
      <c r="B252" s="16"/>
      <c r="C252" s="16"/>
      <c r="D252" s="16"/>
      <c r="E252" s="16"/>
      <c r="F252" s="16"/>
      <c r="G252" s="61"/>
    </row>
    <row r="253" spans="1:7" x14ac:dyDescent="0.25">
      <c r="A253" s="13" t="s">
        <v>308</v>
      </c>
      <c r="B253" s="16"/>
      <c r="C253" s="16"/>
      <c r="D253" s="16"/>
      <c r="E253" s="16"/>
      <c r="F253" s="16"/>
      <c r="G253" s="61"/>
    </row>
    <row r="254" spans="1:7" x14ac:dyDescent="0.25">
      <c r="A254" s="15" t="s">
        <v>309</v>
      </c>
      <c r="B254" s="16"/>
      <c r="C254" s="16"/>
      <c r="D254" s="16"/>
      <c r="E254" s="16"/>
      <c r="F254" s="16"/>
      <c r="G254" s="61"/>
    </row>
    <row r="255" spans="1:7" x14ac:dyDescent="0.25">
      <c r="A255" s="16"/>
      <c r="B255" s="16"/>
      <c r="C255" s="16"/>
      <c r="D255" s="16"/>
      <c r="E255" s="16"/>
      <c r="F255" s="16"/>
      <c r="G255" s="61"/>
    </row>
    <row r="256" spans="1:7" x14ac:dyDescent="0.25">
      <c r="A256" s="66" t="s">
        <v>204</v>
      </c>
      <c r="B256" s="16"/>
      <c r="C256" s="16"/>
      <c r="D256" s="16"/>
      <c r="E256" s="16"/>
      <c r="F256" s="16"/>
      <c r="G256" s="61"/>
    </row>
    <row r="257" spans="1:7" x14ac:dyDescent="0.25">
      <c r="A257" s="67" t="s">
        <v>310</v>
      </c>
      <c r="B257" s="16"/>
      <c r="C257" s="16"/>
      <c r="D257" s="16"/>
      <c r="E257" s="16"/>
      <c r="F257" s="16"/>
      <c r="G257" s="61"/>
    </row>
    <row r="258" spans="1:7" x14ac:dyDescent="0.25">
      <c r="A258" s="15" t="s">
        <v>643</v>
      </c>
      <c r="B258" s="16"/>
      <c r="C258" s="16"/>
      <c r="D258" s="16"/>
      <c r="E258" s="16"/>
      <c r="F258" s="16"/>
      <c r="G258" s="61"/>
    </row>
    <row r="259" spans="1:7" x14ac:dyDescent="0.25">
      <c r="A259" s="16"/>
      <c r="B259" s="16"/>
      <c r="C259" s="16"/>
      <c r="D259" s="16"/>
      <c r="E259" s="16"/>
      <c r="F259" s="16"/>
      <c r="G259" s="61"/>
    </row>
    <row r="260" spans="1:7" x14ac:dyDescent="0.25">
      <c r="A260" s="16"/>
      <c r="B260" s="16"/>
      <c r="C260" s="16"/>
      <c r="D260" s="16"/>
      <c r="E260" s="16"/>
      <c r="F260" s="16"/>
      <c r="G260" s="61"/>
    </row>
  </sheetData>
  <mergeCells count="5">
    <mergeCell ref="A82:D82"/>
    <mergeCell ref="A38:D38"/>
    <mergeCell ref="A44:D44"/>
    <mergeCell ref="A90:D90"/>
    <mergeCell ref="C133:E13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L444"/>
  <sheetViews>
    <sheetView zoomScaleNormal="100" workbookViewId="0">
      <pane ySplit="8" topLeftCell="A9" activePane="bottomLeft" state="frozen"/>
      <selection activeCell="J13" sqref="J13"/>
      <selection pane="bottomLeft"/>
    </sheetView>
  </sheetViews>
  <sheetFormatPr defaultColWidth="15.5703125" defaultRowHeight="15.75" x14ac:dyDescent="0.25"/>
  <cols>
    <col min="1" max="1" width="53.42578125" style="236" customWidth="1"/>
    <col min="2" max="3" width="11.28515625" style="237" customWidth="1"/>
    <col min="4" max="4" width="11" style="237" customWidth="1"/>
    <col min="5" max="7" width="10.28515625" style="237" customWidth="1"/>
    <col min="8" max="10" width="16" style="237" customWidth="1"/>
    <col min="11" max="13" width="12" style="237" customWidth="1"/>
    <col min="14" max="16" width="14.7109375" style="237" customWidth="1"/>
    <col min="17" max="19" width="10.85546875" style="237" customWidth="1"/>
    <col min="20" max="22" width="16.28515625" style="237" customWidth="1"/>
    <col min="23" max="23" width="12.85546875" style="237" customWidth="1"/>
    <col min="24" max="24" width="12.7109375" style="237" customWidth="1"/>
    <col min="25" max="25" width="13.140625" style="237" customWidth="1"/>
    <col min="26" max="26" width="12.7109375" style="237" customWidth="1"/>
    <col min="27" max="27" width="13.140625" style="237" customWidth="1"/>
    <col min="28" max="28" width="12.42578125" style="237" customWidth="1"/>
    <col min="29" max="169" width="29.28515625" style="237" customWidth="1"/>
    <col min="170" max="170" width="42.42578125" style="237" customWidth="1"/>
    <col min="171" max="173" width="12.42578125" style="237" customWidth="1"/>
    <col min="174" max="176" width="10.85546875" style="237" customWidth="1"/>
    <col min="177" max="179" width="14.5703125" style="237" bestFit="1" customWidth="1"/>
    <col min="180" max="182" width="11" style="237" customWidth="1"/>
    <col min="183" max="185" width="14.5703125" style="237" customWidth="1"/>
    <col min="186" max="188" width="15.28515625" style="237" customWidth="1"/>
    <col min="189" max="189" width="15.5703125" style="237"/>
    <col min="190" max="190" width="44.5703125" style="237" customWidth="1"/>
    <col min="191" max="191" width="13.85546875" style="237" customWidth="1"/>
    <col min="192" max="192" width="10.85546875" style="237" customWidth="1"/>
    <col min="193" max="193" width="14.5703125" style="237" customWidth="1"/>
    <col min="194" max="194" width="11" style="237" customWidth="1"/>
    <col min="195" max="195" width="10.85546875" style="237" customWidth="1"/>
    <col min="196" max="196" width="14.5703125" style="237" customWidth="1"/>
    <col min="197" max="198" width="15.5703125" style="237" customWidth="1"/>
    <col min="199" max="199" width="17.7109375" style="237" customWidth="1"/>
    <col min="200" max="425" width="29.28515625" style="237" customWidth="1"/>
    <col min="426" max="426" width="42.42578125" style="237" customWidth="1"/>
    <col min="427" max="429" width="12.42578125" style="237" customWidth="1"/>
    <col min="430" max="432" width="10.85546875" style="237" customWidth="1"/>
    <col min="433" max="435" width="14.5703125" style="237" bestFit="1" customWidth="1"/>
    <col min="436" max="438" width="11" style="237" customWidth="1"/>
    <col min="439" max="441" width="14.5703125" style="237" customWidth="1"/>
    <col min="442" max="444" width="15.28515625" style="237" customWidth="1"/>
    <col min="445" max="445" width="15.5703125" style="237"/>
    <col min="446" max="446" width="44.5703125" style="237" customWidth="1"/>
    <col min="447" max="447" width="13.85546875" style="237" customWidth="1"/>
    <col min="448" max="448" width="10.85546875" style="237" customWidth="1"/>
    <col min="449" max="449" width="14.5703125" style="237" customWidth="1"/>
    <col min="450" max="450" width="11" style="237" customWidth="1"/>
    <col min="451" max="451" width="10.85546875" style="237" customWidth="1"/>
    <col min="452" max="452" width="14.5703125" style="237" customWidth="1"/>
    <col min="453" max="454" width="15.5703125" style="237" customWidth="1"/>
    <col min="455" max="455" width="17.7109375" style="237" customWidth="1"/>
    <col min="456" max="681" width="29.28515625" style="237" customWidth="1"/>
    <col min="682" max="682" width="42.42578125" style="237" customWidth="1"/>
    <col min="683" max="685" width="12.42578125" style="237" customWidth="1"/>
    <col min="686" max="688" width="10.85546875" style="237" customWidth="1"/>
    <col min="689" max="691" width="14.5703125" style="237" bestFit="1" customWidth="1"/>
    <col min="692" max="694" width="11" style="237" customWidth="1"/>
    <col min="695" max="697" width="14.5703125" style="237" customWidth="1"/>
    <col min="698" max="700" width="15.28515625" style="237" customWidth="1"/>
    <col min="701" max="701" width="15.5703125" style="237"/>
    <col min="702" max="702" width="44.5703125" style="237" customWidth="1"/>
    <col min="703" max="703" width="13.85546875" style="237" customWidth="1"/>
    <col min="704" max="704" width="10.85546875" style="237" customWidth="1"/>
    <col min="705" max="705" width="14.5703125" style="237" customWidth="1"/>
    <col min="706" max="706" width="11" style="237" customWidth="1"/>
    <col min="707" max="707" width="10.85546875" style="237" customWidth="1"/>
    <col min="708" max="708" width="14.5703125" style="237" customWidth="1"/>
    <col min="709" max="710" width="15.5703125" style="237" customWidth="1"/>
    <col min="711" max="711" width="17.7109375" style="237" customWidth="1"/>
    <col min="712" max="937" width="29.28515625" style="237" customWidth="1"/>
    <col min="938" max="938" width="42.42578125" style="237" customWidth="1"/>
    <col min="939" max="941" width="12.42578125" style="237" customWidth="1"/>
    <col min="942" max="944" width="10.85546875" style="237" customWidth="1"/>
    <col min="945" max="947" width="14.5703125" style="237" bestFit="1" customWidth="1"/>
    <col min="948" max="950" width="11" style="237" customWidth="1"/>
    <col min="951" max="953" width="14.5703125" style="237" customWidth="1"/>
    <col min="954" max="956" width="15.28515625" style="237" customWidth="1"/>
    <col min="957" max="957" width="15.5703125" style="237"/>
    <col min="958" max="958" width="44.5703125" style="237" customWidth="1"/>
    <col min="959" max="959" width="13.85546875" style="237" customWidth="1"/>
    <col min="960" max="960" width="10.85546875" style="237" customWidth="1"/>
    <col min="961" max="961" width="14.5703125" style="237" customWidth="1"/>
    <col min="962" max="962" width="11" style="237" customWidth="1"/>
    <col min="963" max="963" width="10.85546875" style="237" customWidth="1"/>
    <col min="964" max="964" width="14.5703125" style="237" customWidth="1"/>
    <col min="965" max="966" width="15.5703125" style="237" customWidth="1"/>
    <col min="967" max="967" width="17.7109375" style="237" customWidth="1"/>
    <col min="968" max="1193" width="29.28515625" style="237" customWidth="1"/>
    <col min="1194" max="1194" width="42.42578125" style="237" customWidth="1"/>
    <col min="1195" max="1197" width="12.42578125" style="237" customWidth="1"/>
    <col min="1198" max="1200" width="10.85546875" style="237" customWidth="1"/>
    <col min="1201" max="1203" width="14.5703125" style="237" bestFit="1" customWidth="1"/>
    <col min="1204" max="1206" width="11" style="237" customWidth="1"/>
    <col min="1207" max="1209" width="14.5703125" style="237" customWidth="1"/>
    <col min="1210" max="1212" width="15.28515625" style="237" customWidth="1"/>
    <col min="1213" max="1213" width="15.5703125" style="237"/>
    <col min="1214" max="1214" width="44.5703125" style="237" customWidth="1"/>
    <col min="1215" max="1215" width="13.85546875" style="237" customWidth="1"/>
    <col min="1216" max="1216" width="10.85546875" style="237" customWidth="1"/>
    <col min="1217" max="1217" width="14.5703125" style="237" customWidth="1"/>
    <col min="1218" max="1218" width="11" style="237" customWidth="1"/>
    <col min="1219" max="1219" width="10.85546875" style="237" customWidth="1"/>
    <col min="1220" max="1220" width="14.5703125" style="237" customWidth="1"/>
    <col min="1221" max="1222" width="15.5703125" style="237" customWidth="1"/>
    <col min="1223" max="1223" width="17.7109375" style="237" customWidth="1"/>
    <col min="1224" max="1449" width="29.28515625" style="237" customWidth="1"/>
    <col min="1450" max="1450" width="42.42578125" style="237" customWidth="1"/>
    <col min="1451" max="1453" width="12.42578125" style="237" customWidth="1"/>
    <col min="1454" max="1456" width="10.85546875" style="237" customWidth="1"/>
    <col min="1457" max="1459" width="14.5703125" style="237" bestFit="1" customWidth="1"/>
    <col min="1460" max="1462" width="11" style="237" customWidth="1"/>
    <col min="1463" max="1465" width="14.5703125" style="237" customWidth="1"/>
    <col min="1466" max="1468" width="15.28515625" style="237" customWidth="1"/>
    <col min="1469" max="1469" width="15.5703125" style="237"/>
    <col min="1470" max="1470" width="44.5703125" style="237" customWidth="1"/>
    <col min="1471" max="1471" width="13.85546875" style="237" customWidth="1"/>
    <col min="1472" max="1472" width="10.85546875" style="237" customWidth="1"/>
    <col min="1473" max="1473" width="14.5703125" style="237" customWidth="1"/>
    <col min="1474" max="1474" width="11" style="237" customWidth="1"/>
    <col min="1475" max="1475" width="10.85546875" style="237" customWidth="1"/>
    <col min="1476" max="1476" width="14.5703125" style="237" customWidth="1"/>
    <col min="1477" max="1478" width="15.5703125" style="237" customWidth="1"/>
    <col min="1479" max="1479" width="17.7109375" style="237" customWidth="1"/>
    <col min="1480" max="1705" width="29.28515625" style="237" customWidth="1"/>
    <col min="1706" max="1706" width="42.42578125" style="237" customWidth="1"/>
    <col min="1707" max="1709" width="12.42578125" style="237" customWidth="1"/>
    <col min="1710" max="1712" width="10.85546875" style="237" customWidth="1"/>
    <col min="1713" max="1715" width="14.5703125" style="237" bestFit="1" customWidth="1"/>
    <col min="1716" max="1718" width="11" style="237" customWidth="1"/>
    <col min="1719" max="1721" width="14.5703125" style="237" customWidth="1"/>
    <col min="1722" max="1724" width="15.28515625" style="237" customWidth="1"/>
    <col min="1725" max="1725" width="15.5703125" style="237"/>
    <col min="1726" max="1726" width="44.5703125" style="237" customWidth="1"/>
    <col min="1727" max="1727" width="13.85546875" style="237" customWidth="1"/>
    <col min="1728" max="1728" width="10.85546875" style="237" customWidth="1"/>
    <col min="1729" max="1729" width="14.5703125" style="237" customWidth="1"/>
    <col min="1730" max="1730" width="11" style="237" customWidth="1"/>
    <col min="1731" max="1731" width="10.85546875" style="237" customWidth="1"/>
    <col min="1732" max="1732" width="14.5703125" style="237" customWidth="1"/>
    <col min="1733" max="1734" width="15.5703125" style="237" customWidth="1"/>
    <col min="1735" max="1735" width="17.7109375" style="237" customWidth="1"/>
    <col min="1736" max="1961" width="29.28515625" style="237" customWidth="1"/>
    <col min="1962" max="1962" width="42.42578125" style="237" customWidth="1"/>
    <col min="1963" max="1965" width="12.42578125" style="237" customWidth="1"/>
    <col min="1966" max="1968" width="10.85546875" style="237" customWidth="1"/>
    <col min="1969" max="1971" width="14.5703125" style="237" bestFit="1" customWidth="1"/>
    <col min="1972" max="1974" width="11" style="237" customWidth="1"/>
    <col min="1975" max="1977" width="14.5703125" style="237" customWidth="1"/>
    <col min="1978" max="1980" width="15.28515625" style="237" customWidth="1"/>
    <col min="1981" max="1981" width="15.5703125" style="237"/>
    <col min="1982" max="1982" width="44.5703125" style="237" customWidth="1"/>
    <col min="1983" max="1983" width="13.85546875" style="237" customWidth="1"/>
    <col min="1984" max="1984" width="10.85546875" style="237" customWidth="1"/>
    <col min="1985" max="1985" width="14.5703125" style="237" customWidth="1"/>
    <col min="1986" max="1986" width="11" style="237" customWidth="1"/>
    <col min="1987" max="1987" width="10.85546875" style="237" customWidth="1"/>
    <col min="1988" max="1988" width="14.5703125" style="237" customWidth="1"/>
    <col min="1989" max="1990" width="15.5703125" style="237" customWidth="1"/>
    <col min="1991" max="1991" width="17.7109375" style="237" customWidth="1"/>
    <col min="1992" max="2217" width="29.28515625" style="237" customWidth="1"/>
    <col min="2218" max="2218" width="42.42578125" style="237" customWidth="1"/>
    <col min="2219" max="2221" width="12.42578125" style="237" customWidth="1"/>
    <col min="2222" max="2224" width="10.85546875" style="237" customWidth="1"/>
    <col min="2225" max="2227" width="14.5703125" style="237" bestFit="1" customWidth="1"/>
    <col min="2228" max="2230" width="11" style="237" customWidth="1"/>
    <col min="2231" max="2233" width="14.5703125" style="237" customWidth="1"/>
    <col min="2234" max="2236" width="15.28515625" style="237" customWidth="1"/>
    <col min="2237" max="2237" width="15.5703125" style="237"/>
    <col min="2238" max="2238" width="44.5703125" style="237" customWidth="1"/>
    <col min="2239" max="2239" width="13.85546875" style="237" customWidth="1"/>
    <col min="2240" max="2240" width="10.85546875" style="237" customWidth="1"/>
    <col min="2241" max="2241" width="14.5703125" style="237" customWidth="1"/>
    <col min="2242" max="2242" width="11" style="237" customWidth="1"/>
    <col min="2243" max="2243" width="10.85546875" style="237" customWidth="1"/>
    <col min="2244" max="2244" width="14.5703125" style="237" customWidth="1"/>
    <col min="2245" max="2246" width="15.5703125" style="237" customWidth="1"/>
    <col min="2247" max="2247" width="17.7109375" style="237" customWidth="1"/>
    <col min="2248" max="2473" width="29.28515625" style="237" customWidth="1"/>
    <col min="2474" max="2474" width="42.42578125" style="237" customWidth="1"/>
    <col min="2475" max="2477" width="12.42578125" style="237" customWidth="1"/>
    <col min="2478" max="2480" width="10.85546875" style="237" customWidth="1"/>
    <col min="2481" max="2483" width="14.5703125" style="237" bestFit="1" customWidth="1"/>
    <col min="2484" max="2486" width="11" style="237" customWidth="1"/>
    <col min="2487" max="2489" width="14.5703125" style="237" customWidth="1"/>
    <col min="2490" max="2492" width="15.28515625" style="237" customWidth="1"/>
    <col min="2493" max="2493" width="15.5703125" style="237"/>
    <col min="2494" max="2494" width="44.5703125" style="237" customWidth="1"/>
    <col min="2495" max="2495" width="13.85546875" style="237" customWidth="1"/>
    <col min="2496" max="2496" width="10.85546875" style="237" customWidth="1"/>
    <col min="2497" max="2497" width="14.5703125" style="237" customWidth="1"/>
    <col min="2498" max="2498" width="11" style="237" customWidth="1"/>
    <col min="2499" max="2499" width="10.85546875" style="237" customWidth="1"/>
    <col min="2500" max="2500" width="14.5703125" style="237" customWidth="1"/>
    <col min="2501" max="2502" width="15.5703125" style="237" customWidth="1"/>
    <col min="2503" max="2503" width="17.7109375" style="237" customWidth="1"/>
    <col min="2504" max="2729" width="29.28515625" style="237" customWidth="1"/>
    <col min="2730" max="2730" width="42.42578125" style="237" customWidth="1"/>
    <col min="2731" max="2733" width="12.42578125" style="237" customWidth="1"/>
    <col min="2734" max="2736" width="10.85546875" style="237" customWidth="1"/>
    <col min="2737" max="2739" width="14.5703125" style="237" bestFit="1" customWidth="1"/>
    <col min="2740" max="2742" width="11" style="237" customWidth="1"/>
    <col min="2743" max="2745" width="14.5703125" style="237" customWidth="1"/>
    <col min="2746" max="2748" width="15.28515625" style="237" customWidth="1"/>
    <col min="2749" max="2749" width="15.5703125" style="237"/>
    <col min="2750" max="2750" width="44.5703125" style="237" customWidth="1"/>
    <col min="2751" max="2751" width="13.85546875" style="237" customWidth="1"/>
    <col min="2752" max="2752" width="10.85546875" style="237" customWidth="1"/>
    <col min="2753" max="2753" width="14.5703125" style="237" customWidth="1"/>
    <col min="2754" max="2754" width="11" style="237" customWidth="1"/>
    <col min="2755" max="2755" width="10.85546875" style="237" customWidth="1"/>
    <col min="2756" max="2756" width="14.5703125" style="237" customWidth="1"/>
    <col min="2757" max="2758" width="15.5703125" style="237" customWidth="1"/>
    <col min="2759" max="2759" width="17.7109375" style="237" customWidth="1"/>
    <col min="2760" max="2985" width="29.28515625" style="237" customWidth="1"/>
    <col min="2986" max="2986" width="42.42578125" style="237" customWidth="1"/>
    <col min="2987" max="2989" width="12.42578125" style="237" customWidth="1"/>
    <col min="2990" max="2992" width="10.85546875" style="237" customWidth="1"/>
    <col min="2993" max="2995" width="14.5703125" style="237" bestFit="1" customWidth="1"/>
    <col min="2996" max="2998" width="11" style="237" customWidth="1"/>
    <col min="2999" max="3001" width="14.5703125" style="237" customWidth="1"/>
    <col min="3002" max="3004" width="15.28515625" style="237" customWidth="1"/>
    <col min="3005" max="3005" width="15.5703125" style="237"/>
    <col min="3006" max="3006" width="44.5703125" style="237" customWidth="1"/>
    <col min="3007" max="3007" width="13.85546875" style="237" customWidth="1"/>
    <col min="3008" max="3008" width="10.85546875" style="237" customWidth="1"/>
    <col min="3009" max="3009" width="14.5703125" style="237" customWidth="1"/>
    <col min="3010" max="3010" width="11" style="237" customWidth="1"/>
    <col min="3011" max="3011" width="10.85546875" style="237" customWidth="1"/>
    <col min="3012" max="3012" width="14.5703125" style="237" customWidth="1"/>
    <col min="3013" max="3014" width="15.5703125" style="237" customWidth="1"/>
    <col min="3015" max="3015" width="17.7109375" style="237" customWidth="1"/>
    <col min="3016" max="3241" width="29.28515625" style="237" customWidth="1"/>
    <col min="3242" max="3242" width="42.42578125" style="237" customWidth="1"/>
    <col min="3243" max="3245" width="12.42578125" style="237" customWidth="1"/>
    <col min="3246" max="3248" width="10.85546875" style="237" customWidth="1"/>
    <col min="3249" max="3251" width="14.5703125" style="237" bestFit="1" customWidth="1"/>
    <col min="3252" max="3254" width="11" style="237" customWidth="1"/>
    <col min="3255" max="3257" width="14.5703125" style="237" customWidth="1"/>
    <col min="3258" max="3260" width="15.28515625" style="237" customWidth="1"/>
    <col min="3261" max="3261" width="15.5703125" style="237"/>
    <col min="3262" max="3262" width="44.5703125" style="237" customWidth="1"/>
    <col min="3263" max="3263" width="13.85546875" style="237" customWidth="1"/>
    <col min="3264" max="3264" width="10.85546875" style="237" customWidth="1"/>
    <col min="3265" max="3265" width="14.5703125" style="237" customWidth="1"/>
    <col min="3266" max="3266" width="11" style="237" customWidth="1"/>
    <col min="3267" max="3267" width="10.85546875" style="237" customWidth="1"/>
    <col min="3268" max="3268" width="14.5703125" style="237" customWidth="1"/>
    <col min="3269" max="3270" width="15.5703125" style="237" customWidth="1"/>
    <col min="3271" max="3271" width="17.7109375" style="237" customWidth="1"/>
    <col min="3272" max="3497" width="29.28515625" style="237" customWidth="1"/>
    <col min="3498" max="3498" width="42.42578125" style="237" customWidth="1"/>
    <col min="3499" max="3501" width="12.42578125" style="237" customWidth="1"/>
    <col min="3502" max="3504" width="10.85546875" style="237" customWidth="1"/>
    <col min="3505" max="3507" width="14.5703125" style="237" bestFit="1" customWidth="1"/>
    <col min="3508" max="3510" width="11" style="237" customWidth="1"/>
    <col min="3511" max="3513" width="14.5703125" style="237" customWidth="1"/>
    <col min="3514" max="3516" width="15.28515625" style="237" customWidth="1"/>
    <col min="3517" max="3517" width="15.5703125" style="237"/>
    <col min="3518" max="3518" width="44.5703125" style="237" customWidth="1"/>
    <col min="3519" max="3519" width="13.85546875" style="237" customWidth="1"/>
    <col min="3520" max="3520" width="10.85546875" style="237" customWidth="1"/>
    <col min="3521" max="3521" width="14.5703125" style="237" customWidth="1"/>
    <col min="3522" max="3522" width="11" style="237" customWidth="1"/>
    <col min="3523" max="3523" width="10.85546875" style="237" customWidth="1"/>
    <col min="3524" max="3524" width="14.5703125" style="237" customWidth="1"/>
    <col min="3525" max="3526" width="15.5703125" style="237" customWidth="1"/>
    <col min="3527" max="3527" width="17.7109375" style="237" customWidth="1"/>
    <col min="3528" max="3753" width="29.28515625" style="237" customWidth="1"/>
    <col min="3754" max="3754" width="42.42578125" style="237" customWidth="1"/>
    <col min="3755" max="3757" width="12.42578125" style="237" customWidth="1"/>
    <col min="3758" max="3760" width="10.85546875" style="237" customWidth="1"/>
    <col min="3761" max="3763" width="14.5703125" style="237" bestFit="1" customWidth="1"/>
    <col min="3764" max="3766" width="11" style="237" customWidth="1"/>
    <col min="3767" max="3769" width="14.5703125" style="237" customWidth="1"/>
    <col min="3770" max="3772" width="15.28515625" style="237" customWidth="1"/>
    <col min="3773" max="3773" width="15.5703125" style="237"/>
    <col min="3774" max="3774" width="44.5703125" style="237" customWidth="1"/>
    <col min="3775" max="3775" width="13.85546875" style="237" customWidth="1"/>
    <col min="3776" max="3776" width="10.85546875" style="237" customWidth="1"/>
    <col min="3777" max="3777" width="14.5703125" style="237" customWidth="1"/>
    <col min="3778" max="3778" width="11" style="237" customWidth="1"/>
    <col min="3779" max="3779" width="10.85546875" style="237" customWidth="1"/>
    <col min="3780" max="3780" width="14.5703125" style="237" customWidth="1"/>
    <col min="3781" max="3782" width="15.5703125" style="237" customWidth="1"/>
    <col min="3783" max="3783" width="17.7109375" style="237" customWidth="1"/>
    <col min="3784" max="4009" width="29.28515625" style="237" customWidth="1"/>
    <col min="4010" max="4010" width="42.42578125" style="237" customWidth="1"/>
    <col min="4011" max="4013" width="12.42578125" style="237" customWidth="1"/>
    <col min="4014" max="4016" width="10.85546875" style="237" customWidth="1"/>
    <col min="4017" max="4019" width="14.5703125" style="237" bestFit="1" customWidth="1"/>
    <col min="4020" max="4022" width="11" style="237" customWidth="1"/>
    <col min="4023" max="4025" width="14.5703125" style="237" customWidth="1"/>
    <col min="4026" max="4028" width="15.28515625" style="237" customWidth="1"/>
    <col min="4029" max="4029" width="15.5703125" style="237"/>
    <col min="4030" max="4030" width="44.5703125" style="237" customWidth="1"/>
    <col min="4031" max="4031" width="13.85546875" style="237" customWidth="1"/>
    <col min="4032" max="4032" width="10.85546875" style="237" customWidth="1"/>
    <col min="4033" max="4033" width="14.5703125" style="237" customWidth="1"/>
    <col min="4034" max="4034" width="11" style="237" customWidth="1"/>
    <col min="4035" max="4035" width="10.85546875" style="237" customWidth="1"/>
    <col min="4036" max="4036" width="14.5703125" style="237" customWidth="1"/>
    <col min="4037" max="4038" width="15.5703125" style="237" customWidth="1"/>
    <col min="4039" max="4039" width="17.7109375" style="237" customWidth="1"/>
    <col min="4040" max="4265" width="29.28515625" style="237" customWidth="1"/>
    <col min="4266" max="4266" width="42.42578125" style="237" customWidth="1"/>
    <col min="4267" max="4269" width="12.42578125" style="237" customWidth="1"/>
    <col min="4270" max="4272" width="10.85546875" style="237" customWidth="1"/>
    <col min="4273" max="4275" width="14.5703125" style="237" bestFit="1" customWidth="1"/>
    <col min="4276" max="4278" width="11" style="237" customWidth="1"/>
    <col min="4279" max="4281" width="14.5703125" style="237" customWidth="1"/>
    <col min="4282" max="4284" width="15.28515625" style="237" customWidth="1"/>
    <col min="4285" max="4285" width="15.5703125" style="237"/>
    <col min="4286" max="4286" width="44.5703125" style="237" customWidth="1"/>
    <col min="4287" max="4287" width="13.85546875" style="237" customWidth="1"/>
    <col min="4288" max="4288" width="10.85546875" style="237" customWidth="1"/>
    <col min="4289" max="4289" width="14.5703125" style="237" customWidth="1"/>
    <col min="4290" max="4290" width="11" style="237" customWidth="1"/>
    <col min="4291" max="4291" width="10.85546875" style="237" customWidth="1"/>
    <col min="4292" max="4292" width="14.5703125" style="237" customWidth="1"/>
    <col min="4293" max="4294" width="15.5703125" style="237" customWidth="1"/>
    <col min="4295" max="4295" width="17.7109375" style="237" customWidth="1"/>
    <col min="4296" max="4521" width="29.28515625" style="237" customWidth="1"/>
    <col min="4522" max="4522" width="42.42578125" style="237" customWidth="1"/>
    <col min="4523" max="4525" width="12.42578125" style="237" customWidth="1"/>
    <col min="4526" max="4528" width="10.85546875" style="237" customWidth="1"/>
    <col min="4529" max="4531" width="14.5703125" style="237" bestFit="1" customWidth="1"/>
    <col min="4532" max="4534" width="11" style="237" customWidth="1"/>
    <col min="4535" max="4537" width="14.5703125" style="237" customWidth="1"/>
    <col min="4538" max="4540" width="15.28515625" style="237" customWidth="1"/>
    <col min="4541" max="4541" width="15.5703125" style="237"/>
    <col min="4542" max="4542" width="44.5703125" style="237" customWidth="1"/>
    <col min="4543" max="4543" width="13.85546875" style="237" customWidth="1"/>
    <col min="4544" max="4544" width="10.85546875" style="237" customWidth="1"/>
    <col min="4545" max="4545" width="14.5703125" style="237" customWidth="1"/>
    <col min="4546" max="4546" width="11" style="237" customWidth="1"/>
    <col min="4547" max="4547" width="10.85546875" style="237" customWidth="1"/>
    <col min="4548" max="4548" width="14.5703125" style="237" customWidth="1"/>
    <col min="4549" max="4550" width="15.5703125" style="237" customWidth="1"/>
    <col min="4551" max="4551" width="17.7109375" style="237" customWidth="1"/>
    <col min="4552" max="4777" width="29.28515625" style="237" customWidth="1"/>
    <col min="4778" max="4778" width="42.42578125" style="237" customWidth="1"/>
    <col min="4779" max="4781" width="12.42578125" style="237" customWidth="1"/>
    <col min="4782" max="4784" width="10.85546875" style="237" customWidth="1"/>
    <col min="4785" max="4787" width="14.5703125" style="237" bestFit="1" customWidth="1"/>
    <col min="4788" max="4790" width="11" style="237" customWidth="1"/>
    <col min="4791" max="4793" width="14.5703125" style="237" customWidth="1"/>
    <col min="4794" max="4796" width="15.28515625" style="237" customWidth="1"/>
    <col min="4797" max="4797" width="15.5703125" style="237"/>
    <col min="4798" max="4798" width="44.5703125" style="237" customWidth="1"/>
    <col min="4799" max="4799" width="13.85546875" style="237" customWidth="1"/>
    <col min="4800" max="4800" width="10.85546875" style="237" customWidth="1"/>
    <col min="4801" max="4801" width="14.5703125" style="237" customWidth="1"/>
    <col min="4802" max="4802" width="11" style="237" customWidth="1"/>
    <col min="4803" max="4803" width="10.85546875" style="237" customWidth="1"/>
    <col min="4804" max="4804" width="14.5703125" style="237" customWidth="1"/>
    <col min="4805" max="4806" width="15.5703125" style="237" customWidth="1"/>
    <col min="4807" max="4807" width="17.7109375" style="237" customWidth="1"/>
    <col min="4808" max="5033" width="29.28515625" style="237" customWidth="1"/>
    <col min="5034" max="5034" width="42.42578125" style="237" customWidth="1"/>
    <col min="5035" max="5037" width="12.42578125" style="237" customWidth="1"/>
    <col min="5038" max="5040" width="10.85546875" style="237" customWidth="1"/>
    <col min="5041" max="5043" width="14.5703125" style="237" bestFit="1" customWidth="1"/>
    <col min="5044" max="5046" width="11" style="237" customWidth="1"/>
    <col min="5047" max="5049" width="14.5703125" style="237" customWidth="1"/>
    <col min="5050" max="5052" width="15.28515625" style="237" customWidth="1"/>
    <col min="5053" max="5053" width="15.5703125" style="237"/>
    <col min="5054" max="5054" width="44.5703125" style="237" customWidth="1"/>
    <col min="5055" max="5055" width="13.85546875" style="237" customWidth="1"/>
    <col min="5056" max="5056" width="10.85546875" style="237" customWidth="1"/>
    <col min="5057" max="5057" width="14.5703125" style="237" customWidth="1"/>
    <col min="5058" max="5058" width="11" style="237" customWidth="1"/>
    <col min="5059" max="5059" width="10.85546875" style="237" customWidth="1"/>
    <col min="5060" max="5060" width="14.5703125" style="237" customWidth="1"/>
    <col min="5061" max="5062" width="15.5703125" style="237" customWidth="1"/>
    <col min="5063" max="5063" width="17.7109375" style="237" customWidth="1"/>
    <col min="5064" max="5289" width="29.28515625" style="237" customWidth="1"/>
    <col min="5290" max="5290" width="42.42578125" style="237" customWidth="1"/>
    <col min="5291" max="5293" width="12.42578125" style="237" customWidth="1"/>
    <col min="5294" max="5296" width="10.85546875" style="237" customWidth="1"/>
    <col min="5297" max="5299" width="14.5703125" style="237" bestFit="1" customWidth="1"/>
    <col min="5300" max="5302" width="11" style="237" customWidth="1"/>
    <col min="5303" max="5305" width="14.5703125" style="237" customWidth="1"/>
    <col min="5306" max="5308" width="15.28515625" style="237" customWidth="1"/>
    <col min="5309" max="5309" width="15.5703125" style="237"/>
    <col min="5310" max="5310" width="44.5703125" style="237" customWidth="1"/>
    <col min="5311" max="5311" width="13.85546875" style="237" customWidth="1"/>
    <col min="5312" max="5312" width="10.85546875" style="237" customWidth="1"/>
    <col min="5313" max="5313" width="14.5703125" style="237" customWidth="1"/>
    <col min="5314" max="5314" width="11" style="237" customWidth="1"/>
    <col min="5315" max="5315" width="10.85546875" style="237" customWidth="1"/>
    <col min="5316" max="5316" width="14.5703125" style="237" customWidth="1"/>
    <col min="5317" max="5318" width="15.5703125" style="237" customWidth="1"/>
    <col min="5319" max="5319" width="17.7109375" style="237" customWidth="1"/>
    <col min="5320" max="5545" width="29.28515625" style="237" customWidth="1"/>
    <col min="5546" max="5546" width="42.42578125" style="237" customWidth="1"/>
    <col min="5547" max="5549" width="12.42578125" style="237" customWidth="1"/>
    <col min="5550" max="5552" width="10.85546875" style="237" customWidth="1"/>
    <col min="5553" max="5555" width="14.5703125" style="237" bestFit="1" customWidth="1"/>
    <col min="5556" max="5558" width="11" style="237" customWidth="1"/>
    <col min="5559" max="5561" width="14.5703125" style="237" customWidth="1"/>
    <col min="5562" max="5564" width="15.28515625" style="237" customWidth="1"/>
    <col min="5565" max="5565" width="15.5703125" style="237"/>
    <col min="5566" max="5566" width="44.5703125" style="237" customWidth="1"/>
    <col min="5567" max="5567" width="13.85546875" style="237" customWidth="1"/>
    <col min="5568" max="5568" width="10.85546875" style="237" customWidth="1"/>
    <col min="5569" max="5569" width="14.5703125" style="237" customWidth="1"/>
    <col min="5570" max="5570" width="11" style="237" customWidth="1"/>
    <col min="5571" max="5571" width="10.85546875" style="237" customWidth="1"/>
    <col min="5572" max="5572" width="14.5703125" style="237" customWidth="1"/>
    <col min="5573" max="5574" width="15.5703125" style="237" customWidth="1"/>
    <col min="5575" max="5575" width="17.7109375" style="237" customWidth="1"/>
    <col min="5576" max="5801" width="29.28515625" style="237" customWidth="1"/>
    <col min="5802" max="5802" width="42.42578125" style="237" customWidth="1"/>
    <col min="5803" max="5805" width="12.42578125" style="237" customWidth="1"/>
    <col min="5806" max="5808" width="10.85546875" style="237" customWidth="1"/>
    <col min="5809" max="5811" width="14.5703125" style="237" bestFit="1" customWidth="1"/>
    <col min="5812" max="5814" width="11" style="237" customWidth="1"/>
    <col min="5815" max="5817" width="14.5703125" style="237" customWidth="1"/>
    <col min="5818" max="5820" width="15.28515625" style="237" customWidth="1"/>
    <col min="5821" max="5821" width="15.5703125" style="237"/>
    <col min="5822" max="5822" width="44.5703125" style="237" customWidth="1"/>
    <col min="5823" max="5823" width="13.85546875" style="237" customWidth="1"/>
    <col min="5824" max="5824" width="10.85546875" style="237" customWidth="1"/>
    <col min="5825" max="5825" width="14.5703125" style="237" customWidth="1"/>
    <col min="5826" max="5826" width="11" style="237" customWidth="1"/>
    <col min="5827" max="5827" width="10.85546875" style="237" customWidth="1"/>
    <col min="5828" max="5828" width="14.5703125" style="237" customWidth="1"/>
    <col min="5829" max="5830" width="15.5703125" style="237" customWidth="1"/>
    <col min="5831" max="5831" width="17.7109375" style="237" customWidth="1"/>
    <col min="5832" max="6057" width="29.28515625" style="237" customWidth="1"/>
    <col min="6058" max="6058" width="42.42578125" style="237" customWidth="1"/>
    <col min="6059" max="6061" width="12.42578125" style="237" customWidth="1"/>
    <col min="6062" max="6064" width="10.85546875" style="237" customWidth="1"/>
    <col min="6065" max="6067" width="14.5703125" style="237" bestFit="1" customWidth="1"/>
    <col min="6068" max="6070" width="11" style="237" customWidth="1"/>
    <col min="6071" max="6073" width="14.5703125" style="237" customWidth="1"/>
    <col min="6074" max="6076" width="15.28515625" style="237" customWidth="1"/>
    <col min="6077" max="6077" width="15.5703125" style="237"/>
    <col min="6078" max="6078" width="44.5703125" style="237" customWidth="1"/>
    <col min="6079" max="6079" width="13.85546875" style="237" customWidth="1"/>
    <col min="6080" max="6080" width="10.85546875" style="237" customWidth="1"/>
    <col min="6081" max="6081" width="14.5703125" style="237" customWidth="1"/>
    <col min="6082" max="6082" width="11" style="237" customWidth="1"/>
    <col min="6083" max="6083" width="10.85546875" style="237" customWidth="1"/>
    <col min="6084" max="6084" width="14.5703125" style="237" customWidth="1"/>
    <col min="6085" max="6086" width="15.5703125" style="237" customWidth="1"/>
    <col min="6087" max="6087" width="17.7109375" style="237" customWidth="1"/>
    <col min="6088" max="6313" width="29.28515625" style="237" customWidth="1"/>
    <col min="6314" max="6314" width="42.42578125" style="237" customWidth="1"/>
    <col min="6315" max="6317" width="12.42578125" style="237" customWidth="1"/>
    <col min="6318" max="6320" width="10.85546875" style="237" customWidth="1"/>
    <col min="6321" max="6323" width="14.5703125" style="237" bestFit="1" customWidth="1"/>
    <col min="6324" max="6326" width="11" style="237" customWidth="1"/>
    <col min="6327" max="6329" width="14.5703125" style="237" customWidth="1"/>
    <col min="6330" max="6332" width="15.28515625" style="237" customWidth="1"/>
    <col min="6333" max="6333" width="15.5703125" style="237"/>
    <col min="6334" max="6334" width="44.5703125" style="237" customWidth="1"/>
    <col min="6335" max="6335" width="13.85546875" style="237" customWidth="1"/>
    <col min="6336" max="6336" width="10.85546875" style="237" customWidth="1"/>
    <col min="6337" max="6337" width="14.5703125" style="237" customWidth="1"/>
    <col min="6338" max="6338" width="11" style="237" customWidth="1"/>
    <col min="6339" max="6339" width="10.85546875" style="237" customWidth="1"/>
    <col min="6340" max="6340" width="14.5703125" style="237" customWidth="1"/>
    <col min="6341" max="6342" width="15.5703125" style="237" customWidth="1"/>
    <col min="6343" max="6343" width="17.7109375" style="237" customWidth="1"/>
    <col min="6344" max="6569" width="29.28515625" style="237" customWidth="1"/>
    <col min="6570" max="6570" width="42.42578125" style="237" customWidth="1"/>
    <col min="6571" max="6573" width="12.42578125" style="237" customWidth="1"/>
    <col min="6574" max="6576" width="10.85546875" style="237" customWidth="1"/>
    <col min="6577" max="6579" width="14.5703125" style="237" bestFit="1" customWidth="1"/>
    <col min="6580" max="6582" width="11" style="237" customWidth="1"/>
    <col min="6583" max="6585" width="14.5703125" style="237" customWidth="1"/>
    <col min="6586" max="6588" width="15.28515625" style="237" customWidth="1"/>
    <col min="6589" max="6589" width="15.5703125" style="237"/>
    <col min="6590" max="6590" width="44.5703125" style="237" customWidth="1"/>
    <col min="6591" max="6591" width="13.85546875" style="237" customWidth="1"/>
    <col min="6592" max="6592" width="10.85546875" style="237" customWidth="1"/>
    <col min="6593" max="6593" width="14.5703125" style="237" customWidth="1"/>
    <col min="6594" max="6594" width="11" style="237" customWidth="1"/>
    <col min="6595" max="6595" width="10.85546875" style="237" customWidth="1"/>
    <col min="6596" max="6596" width="14.5703125" style="237" customWidth="1"/>
    <col min="6597" max="6598" width="15.5703125" style="237" customWidth="1"/>
    <col min="6599" max="6599" width="17.7109375" style="237" customWidth="1"/>
    <col min="6600" max="6825" width="29.28515625" style="237" customWidth="1"/>
    <col min="6826" max="6826" width="42.42578125" style="237" customWidth="1"/>
    <col min="6827" max="6829" width="12.42578125" style="237" customWidth="1"/>
    <col min="6830" max="6832" width="10.85546875" style="237" customWidth="1"/>
    <col min="6833" max="6835" width="14.5703125" style="237" bestFit="1" customWidth="1"/>
    <col min="6836" max="6838" width="11" style="237" customWidth="1"/>
    <col min="6839" max="6841" width="14.5703125" style="237" customWidth="1"/>
    <col min="6842" max="6844" width="15.28515625" style="237" customWidth="1"/>
    <col min="6845" max="6845" width="15.5703125" style="237"/>
    <col min="6846" max="6846" width="44.5703125" style="237" customWidth="1"/>
    <col min="6847" max="6847" width="13.85546875" style="237" customWidth="1"/>
    <col min="6848" max="6848" width="10.85546875" style="237" customWidth="1"/>
    <col min="6849" max="6849" width="14.5703125" style="237" customWidth="1"/>
    <col min="6850" max="6850" width="11" style="237" customWidth="1"/>
    <col min="6851" max="6851" width="10.85546875" style="237" customWidth="1"/>
    <col min="6852" max="6852" width="14.5703125" style="237" customWidth="1"/>
    <col min="6853" max="6854" width="15.5703125" style="237" customWidth="1"/>
    <col min="6855" max="6855" width="17.7109375" style="237" customWidth="1"/>
    <col min="6856" max="7081" width="29.28515625" style="237" customWidth="1"/>
    <col min="7082" max="7082" width="42.42578125" style="237" customWidth="1"/>
    <col min="7083" max="7085" width="12.42578125" style="237" customWidth="1"/>
    <col min="7086" max="7088" width="10.85546875" style="237" customWidth="1"/>
    <col min="7089" max="7091" width="14.5703125" style="237" bestFit="1" customWidth="1"/>
    <col min="7092" max="7094" width="11" style="237" customWidth="1"/>
    <col min="7095" max="7097" width="14.5703125" style="237" customWidth="1"/>
    <col min="7098" max="7100" width="15.28515625" style="237" customWidth="1"/>
    <col min="7101" max="7101" width="15.5703125" style="237"/>
    <col min="7102" max="7102" width="44.5703125" style="237" customWidth="1"/>
    <col min="7103" max="7103" width="13.85546875" style="237" customWidth="1"/>
    <col min="7104" max="7104" width="10.85546875" style="237" customWidth="1"/>
    <col min="7105" max="7105" width="14.5703125" style="237" customWidth="1"/>
    <col min="7106" max="7106" width="11" style="237" customWidth="1"/>
    <col min="7107" max="7107" width="10.85546875" style="237" customWidth="1"/>
    <col min="7108" max="7108" width="14.5703125" style="237" customWidth="1"/>
    <col min="7109" max="7110" width="15.5703125" style="237" customWidth="1"/>
    <col min="7111" max="7111" width="17.7109375" style="237" customWidth="1"/>
    <col min="7112" max="7337" width="29.28515625" style="237" customWidth="1"/>
    <col min="7338" max="7338" width="42.42578125" style="237" customWidth="1"/>
    <col min="7339" max="7341" width="12.42578125" style="237" customWidth="1"/>
    <col min="7342" max="7344" width="10.85546875" style="237" customWidth="1"/>
    <col min="7345" max="7347" width="14.5703125" style="237" bestFit="1" customWidth="1"/>
    <col min="7348" max="7350" width="11" style="237" customWidth="1"/>
    <col min="7351" max="7353" width="14.5703125" style="237" customWidth="1"/>
    <col min="7354" max="7356" width="15.28515625" style="237" customWidth="1"/>
    <col min="7357" max="7357" width="15.5703125" style="237"/>
    <col min="7358" max="7358" width="44.5703125" style="237" customWidth="1"/>
    <col min="7359" max="7359" width="13.85546875" style="237" customWidth="1"/>
    <col min="7360" max="7360" width="10.85546875" style="237" customWidth="1"/>
    <col min="7361" max="7361" width="14.5703125" style="237" customWidth="1"/>
    <col min="7362" max="7362" width="11" style="237" customWidth="1"/>
    <col min="7363" max="7363" width="10.85546875" style="237" customWidth="1"/>
    <col min="7364" max="7364" width="14.5703125" style="237" customWidth="1"/>
    <col min="7365" max="7366" width="15.5703125" style="237" customWidth="1"/>
    <col min="7367" max="7367" width="17.7109375" style="237" customWidth="1"/>
    <col min="7368" max="7593" width="29.28515625" style="237" customWidth="1"/>
    <col min="7594" max="7594" width="42.42578125" style="237" customWidth="1"/>
    <col min="7595" max="7597" width="12.42578125" style="237" customWidth="1"/>
    <col min="7598" max="7600" width="10.85546875" style="237" customWidth="1"/>
    <col min="7601" max="7603" width="14.5703125" style="237" bestFit="1" customWidth="1"/>
    <col min="7604" max="7606" width="11" style="237" customWidth="1"/>
    <col min="7607" max="7609" width="14.5703125" style="237" customWidth="1"/>
    <col min="7610" max="7612" width="15.28515625" style="237" customWidth="1"/>
    <col min="7613" max="7613" width="15.5703125" style="237"/>
    <col min="7614" max="7614" width="44.5703125" style="237" customWidth="1"/>
    <col min="7615" max="7615" width="13.85546875" style="237" customWidth="1"/>
    <col min="7616" max="7616" width="10.85546875" style="237" customWidth="1"/>
    <col min="7617" max="7617" width="14.5703125" style="237" customWidth="1"/>
    <col min="7618" max="7618" width="11" style="237" customWidth="1"/>
    <col min="7619" max="7619" width="10.85546875" style="237" customWidth="1"/>
    <col min="7620" max="7620" width="14.5703125" style="237" customWidth="1"/>
    <col min="7621" max="7622" width="15.5703125" style="237" customWidth="1"/>
    <col min="7623" max="7623" width="17.7109375" style="237" customWidth="1"/>
    <col min="7624" max="7849" width="29.28515625" style="237" customWidth="1"/>
    <col min="7850" max="7850" width="42.42578125" style="237" customWidth="1"/>
    <col min="7851" max="7853" width="12.42578125" style="237" customWidth="1"/>
    <col min="7854" max="7856" width="10.85546875" style="237" customWidth="1"/>
    <col min="7857" max="7859" width="14.5703125" style="237" bestFit="1" customWidth="1"/>
    <col min="7860" max="7862" width="11" style="237" customWidth="1"/>
    <col min="7863" max="7865" width="14.5703125" style="237" customWidth="1"/>
    <col min="7866" max="7868" width="15.28515625" style="237" customWidth="1"/>
    <col min="7869" max="7869" width="15.5703125" style="237"/>
    <col min="7870" max="7870" width="44.5703125" style="237" customWidth="1"/>
    <col min="7871" max="7871" width="13.85546875" style="237" customWidth="1"/>
    <col min="7872" max="7872" width="10.85546875" style="237" customWidth="1"/>
    <col min="7873" max="7873" width="14.5703125" style="237" customWidth="1"/>
    <col min="7874" max="7874" width="11" style="237" customWidth="1"/>
    <col min="7875" max="7875" width="10.85546875" style="237" customWidth="1"/>
    <col min="7876" max="7876" width="14.5703125" style="237" customWidth="1"/>
    <col min="7877" max="7878" width="15.5703125" style="237" customWidth="1"/>
    <col min="7879" max="7879" width="17.7109375" style="237" customWidth="1"/>
    <col min="7880" max="8105" width="29.28515625" style="237" customWidth="1"/>
    <col min="8106" max="8106" width="42.42578125" style="237" customWidth="1"/>
    <col min="8107" max="8109" width="12.42578125" style="237" customWidth="1"/>
    <col min="8110" max="8112" width="10.85546875" style="237" customWidth="1"/>
    <col min="8113" max="8115" width="14.5703125" style="237" bestFit="1" customWidth="1"/>
    <col min="8116" max="8118" width="11" style="237" customWidth="1"/>
    <col min="8119" max="8121" width="14.5703125" style="237" customWidth="1"/>
    <col min="8122" max="8124" width="15.28515625" style="237" customWidth="1"/>
    <col min="8125" max="8125" width="15.5703125" style="237"/>
    <col min="8126" max="8126" width="44.5703125" style="237" customWidth="1"/>
    <col min="8127" max="8127" width="13.85546875" style="237" customWidth="1"/>
    <col min="8128" max="8128" width="10.85546875" style="237" customWidth="1"/>
    <col min="8129" max="8129" width="14.5703125" style="237" customWidth="1"/>
    <col min="8130" max="8130" width="11" style="237" customWidth="1"/>
    <col min="8131" max="8131" width="10.85546875" style="237" customWidth="1"/>
    <col min="8132" max="8132" width="14.5703125" style="237" customWidth="1"/>
    <col min="8133" max="8134" width="15.5703125" style="237" customWidth="1"/>
    <col min="8135" max="8135" width="17.7109375" style="237" customWidth="1"/>
    <col min="8136" max="8361" width="29.28515625" style="237" customWidth="1"/>
    <col min="8362" max="8362" width="42.42578125" style="237" customWidth="1"/>
    <col min="8363" max="8365" width="12.42578125" style="237" customWidth="1"/>
    <col min="8366" max="8368" width="10.85546875" style="237" customWidth="1"/>
    <col min="8369" max="8371" width="14.5703125" style="237" bestFit="1" customWidth="1"/>
    <col min="8372" max="8374" width="11" style="237" customWidth="1"/>
    <col min="8375" max="8377" width="14.5703125" style="237" customWidth="1"/>
    <col min="8378" max="8380" width="15.28515625" style="237" customWidth="1"/>
    <col min="8381" max="8381" width="15.5703125" style="237"/>
    <col min="8382" max="8382" width="44.5703125" style="237" customWidth="1"/>
    <col min="8383" max="8383" width="13.85546875" style="237" customWidth="1"/>
    <col min="8384" max="8384" width="10.85546875" style="237" customWidth="1"/>
    <col min="8385" max="8385" width="14.5703125" style="237" customWidth="1"/>
    <col min="8386" max="8386" width="11" style="237" customWidth="1"/>
    <col min="8387" max="8387" width="10.85546875" style="237" customWidth="1"/>
    <col min="8388" max="8388" width="14.5703125" style="237" customWidth="1"/>
    <col min="8389" max="8390" width="15.5703125" style="237" customWidth="1"/>
    <col min="8391" max="8391" width="17.7109375" style="237" customWidth="1"/>
    <col min="8392" max="8617" width="29.28515625" style="237" customWidth="1"/>
    <col min="8618" max="8618" width="42.42578125" style="237" customWidth="1"/>
    <col min="8619" max="8621" width="12.42578125" style="237" customWidth="1"/>
    <col min="8622" max="8624" width="10.85546875" style="237" customWidth="1"/>
    <col min="8625" max="8627" width="14.5703125" style="237" bestFit="1" customWidth="1"/>
    <col min="8628" max="8630" width="11" style="237" customWidth="1"/>
    <col min="8631" max="8633" width="14.5703125" style="237" customWidth="1"/>
    <col min="8634" max="8636" width="15.28515625" style="237" customWidth="1"/>
    <col min="8637" max="8637" width="15.5703125" style="237"/>
    <col min="8638" max="8638" width="44.5703125" style="237" customWidth="1"/>
    <col min="8639" max="8639" width="13.85546875" style="237" customWidth="1"/>
    <col min="8640" max="8640" width="10.85546875" style="237" customWidth="1"/>
    <col min="8641" max="8641" width="14.5703125" style="237" customWidth="1"/>
    <col min="8642" max="8642" width="11" style="237" customWidth="1"/>
    <col min="8643" max="8643" width="10.85546875" style="237" customWidth="1"/>
    <col min="8644" max="8644" width="14.5703125" style="237" customWidth="1"/>
    <col min="8645" max="8646" width="15.5703125" style="237" customWidth="1"/>
    <col min="8647" max="8647" width="17.7109375" style="237" customWidth="1"/>
    <col min="8648" max="8873" width="29.28515625" style="237" customWidth="1"/>
    <col min="8874" max="8874" width="42.42578125" style="237" customWidth="1"/>
    <col min="8875" max="8877" width="12.42578125" style="237" customWidth="1"/>
    <col min="8878" max="8880" width="10.85546875" style="237" customWidth="1"/>
    <col min="8881" max="8883" width="14.5703125" style="237" bestFit="1" customWidth="1"/>
    <col min="8884" max="8886" width="11" style="237" customWidth="1"/>
    <col min="8887" max="8889" width="14.5703125" style="237" customWidth="1"/>
    <col min="8890" max="8892" width="15.28515625" style="237" customWidth="1"/>
    <col min="8893" max="8893" width="15.5703125" style="237"/>
    <col min="8894" max="8894" width="44.5703125" style="237" customWidth="1"/>
    <col min="8895" max="8895" width="13.85546875" style="237" customWidth="1"/>
    <col min="8896" max="8896" width="10.85546875" style="237" customWidth="1"/>
    <col min="8897" max="8897" width="14.5703125" style="237" customWidth="1"/>
    <col min="8898" max="8898" width="11" style="237" customWidth="1"/>
    <col min="8899" max="8899" width="10.85546875" style="237" customWidth="1"/>
    <col min="8900" max="8900" width="14.5703125" style="237" customWidth="1"/>
    <col min="8901" max="8902" width="15.5703125" style="237" customWidth="1"/>
    <col min="8903" max="8903" width="17.7109375" style="237" customWidth="1"/>
    <col min="8904" max="9129" width="29.28515625" style="237" customWidth="1"/>
    <col min="9130" max="9130" width="42.42578125" style="237" customWidth="1"/>
    <col min="9131" max="9133" width="12.42578125" style="237" customWidth="1"/>
    <col min="9134" max="9136" width="10.85546875" style="237" customWidth="1"/>
    <col min="9137" max="9139" width="14.5703125" style="237" bestFit="1" customWidth="1"/>
    <col min="9140" max="9142" width="11" style="237" customWidth="1"/>
    <col min="9143" max="9145" width="14.5703125" style="237" customWidth="1"/>
    <col min="9146" max="9148" width="15.28515625" style="237" customWidth="1"/>
    <col min="9149" max="9149" width="15.5703125" style="237"/>
    <col min="9150" max="9150" width="44.5703125" style="237" customWidth="1"/>
    <col min="9151" max="9151" width="13.85546875" style="237" customWidth="1"/>
    <col min="9152" max="9152" width="10.85546875" style="237" customWidth="1"/>
    <col min="9153" max="9153" width="14.5703125" style="237" customWidth="1"/>
    <col min="9154" max="9154" width="11" style="237" customWidth="1"/>
    <col min="9155" max="9155" width="10.85546875" style="237" customWidth="1"/>
    <col min="9156" max="9156" width="14.5703125" style="237" customWidth="1"/>
    <col min="9157" max="9158" width="15.5703125" style="237" customWidth="1"/>
    <col min="9159" max="9159" width="17.7109375" style="237" customWidth="1"/>
    <col min="9160" max="9385" width="29.28515625" style="237" customWidth="1"/>
    <col min="9386" max="9386" width="42.42578125" style="237" customWidth="1"/>
    <col min="9387" max="9389" width="12.42578125" style="237" customWidth="1"/>
    <col min="9390" max="9392" width="10.85546875" style="237" customWidth="1"/>
    <col min="9393" max="9395" width="14.5703125" style="237" bestFit="1" customWidth="1"/>
    <col min="9396" max="9398" width="11" style="237" customWidth="1"/>
    <col min="9399" max="9401" width="14.5703125" style="237" customWidth="1"/>
    <col min="9402" max="9404" width="15.28515625" style="237" customWidth="1"/>
    <col min="9405" max="9405" width="15.5703125" style="237"/>
    <col min="9406" max="9406" width="44.5703125" style="237" customWidth="1"/>
    <col min="9407" max="9407" width="13.85546875" style="237" customWidth="1"/>
    <col min="9408" max="9408" width="10.85546875" style="237" customWidth="1"/>
    <col min="9409" max="9409" width="14.5703125" style="237" customWidth="1"/>
    <col min="9410" max="9410" width="11" style="237" customWidth="1"/>
    <col min="9411" max="9411" width="10.85546875" style="237" customWidth="1"/>
    <col min="9412" max="9412" width="14.5703125" style="237" customWidth="1"/>
    <col min="9413" max="9414" width="15.5703125" style="237" customWidth="1"/>
    <col min="9415" max="9415" width="17.7109375" style="237" customWidth="1"/>
    <col min="9416" max="9641" width="29.28515625" style="237" customWidth="1"/>
    <col min="9642" max="9642" width="42.42578125" style="237" customWidth="1"/>
    <col min="9643" max="9645" width="12.42578125" style="237" customWidth="1"/>
    <col min="9646" max="9648" width="10.85546875" style="237" customWidth="1"/>
    <col min="9649" max="9651" width="14.5703125" style="237" bestFit="1" customWidth="1"/>
    <col min="9652" max="9654" width="11" style="237" customWidth="1"/>
    <col min="9655" max="9657" width="14.5703125" style="237" customWidth="1"/>
    <col min="9658" max="9660" width="15.28515625" style="237" customWidth="1"/>
    <col min="9661" max="9661" width="15.5703125" style="237"/>
    <col min="9662" max="9662" width="44.5703125" style="237" customWidth="1"/>
    <col min="9663" max="9663" width="13.85546875" style="237" customWidth="1"/>
    <col min="9664" max="9664" width="10.85546875" style="237" customWidth="1"/>
    <col min="9665" max="9665" width="14.5703125" style="237" customWidth="1"/>
    <col min="9666" max="9666" width="11" style="237" customWidth="1"/>
    <col min="9667" max="9667" width="10.85546875" style="237" customWidth="1"/>
    <col min="9668" max="9668" width="14.5703125" style="237" customWidth="1"/>
    <col min="9669" max="9670" width="15.5703125" style="237" customWidth="1"/>
    <col min="9671" max="9671" width="17.7109375" style="237" customWidth="1"/>
    <col min="9672" max="9897" width="29.28515625" style="237" customWidth="1"/>
    <col min="9898" max="9898" width="42.42578125" style="237" customWidth="1"/>
    <col min="9899" max="9901" width="12.42578125" style="237" customWidth="1"/>
    <col min="9902" max="9904" width="10.85546875" style="237" customWidth="1"/>
    <col min="9905" max="9907" width="14.5703125" style="237" bestFit="1" customWidth="1"/>
    <col min="9908" max="9910" width="11" style="237" customWidth="1"/>
    <col min="9911" max="9913" width="14.5703125" style="237" customWidth="1"/>
    <col min="9914" max="9916" width="15.28515625" style="237" customWidth="1"/>
    <col min="9917" max="9917" width="15.5703125" style="237"/>
    <col min="9918" max="9918" width="44.5703125" style="237" customWidth="1"/>
    <col min="9919" max="9919" width="13.85546875" style="237" customWidth="1"/>
    <col min="9920" max="9920" width="10.85546875" style="237" customWidth="1"/>
    <col min="9921" max="9921" width="14.5703125" style="237" customWidth="1"/>
    <col min="9922" max="9922" width="11" style="237" customWidth="1"/>
    <col min="9923" max="9923" width="10.85546875" style="237" customWidth="1"/>
    <col min="9924" max="9924" width="14.5703125" style="237" customWidth="1"/>
    <col min="9925" max="9926" width="15.5703125" style="237" customWidth="1"/>
    <col min="9927" max="9927" width="17.7109375" style="237" customWidth="1"/>
    <col min="9928" max="10153" width="29.28515625" style="237" customWidth="1"/>
    <col min="10154" max="10154" width="42.42578125" style="237" customWidth="1"/>
    <col min="10155" max="10157" width="12.42578125" style="237" customWidth="1"/>
    <col min="10158" max="10160" width="10.85546875" style="237" customWidth="1"/>
    <col min="10161" max="10163" width="14.5703125" style="237" bestFit="1" customWidth="1"/>
    <col min="10164" max="10166" width="11" style="237" customWidth="1"/>
    <col min="10167" max="10169" width="14.5703125" style="237" customWidth="1"/>
    <col min="10170" max="10172" width="15.28515625" style="237" customWidth="1"/>
    <col min="10173" max="10173" width="15.5703125" style="237"/>
    <col min="10174" max="10174" width="44.5703125" style="237" customWidth="1"/>
    <col min="10175" max="10175" width="13.85546875" style="237" customWidth="1"/>
    <col min="10176" max="10176" width="10.85546875" style="237" customWidth="1"/>
    <col min="10177" max="10177" width="14.5703125" style="237" customWidth="1"/>
    <col min="10178" max="10178" width="11" style="237" customWidth="1"/>
    <col min="10179" max="10179" width="10.85546875" style="237" customWidth="1"/>
    <col min="10180" max="10180" width="14.5703125" style="237" customWidth="1"/>
    <col min="10181" max="10182" width="15.5703125" style="237" customWidth="1"/>
    <col min="10183" max="10183" width="17.7109375" style="237" customWidth="1"/>
    <col min="10184" max="10409" width="29.28515625" style="237" customWidth="1"/>
    <col min="10410" max="10410" width="42.42578125" style="237" customWidth="1"/>
    <col min="10411" max="10413" width="12.42578125" style="237" customWidth="1"/>
    <col min="10414" max="10416" width="10.85546875" style="237" customWidth="1"/>
    <col min="10417" max="10419" width="14.5703125" style="237" bestFit="1" customWidth="1"/>
    <col min="10420" max="10422" width="11" style="237" customWidth="1"/>
    <col min="10423" max="10425" width="14.5703125" style="237" customWidth="1"/>
    <col min="10426" max="10428" width="15.28515625" style="237" customWidth="1"/>
    <col min="10429" max="10429" width="15.5703125" style="237"/>
    <col min="10430" max="10430" width="44.5703125" style="237" customWidth="1"/>
    <col min="10431" max="10431" width="13.85546875" style="237" customWidth="1"/>
    <col min="10432" max="10432" width="10.85546875" style="237" customWidth="1"/>
    <col min="10433" max="10433" width="14.5703125" style="237" customWidth="1"/>
    <col min="10434" max="10434" width="11" style="237" customWidth="1"/>
    <col min="10435" max="10435" width="10.85546875" style="237" customWidth="1"/>
    <col min="10436" max="10436" width="14.5703125" style="237" customWidth="1"/>
    <col min="10437" max="10438" width="15.5703125" style="237" customWidth="1"/>
    <col min="10439" max="10439" width="17.7109375" style="237" customWidth="1"/>
    <col min="10440" max="10665" width="29.28515625" style="237" customWidth="1"/>
    <col min="10666" max="10666" width="42.42578125" style="237" customWidth="1"/>
    <col min="10667" max="10669" width="12.42578125" style="237" customWidth="1"/>
    <col min="10670" max="10672" width="10.85546875" style="237" customWidth="1"/>
    <col min="10673" max="10675" width="14.5703125" style="237" bestFit="1" customWidth="1"/>
    <col min="10676" max="10678" width="11" style="237" customWidth="1"/>
    <col min="10679" max="10681" width="14.5703125" style="237" customWidth="1"/>
    <col min="10682" max="10684" width="15.28515625" style="237" customWidth="1"/>
    <col min="10685" max="10685" width="15.5703125" style="237"/>
    <col min="10686" max="10686" width="44.5703125" style="237" customWidth="1"/>
    <col min="10687" max="10687" width="13.85546875" style="237" customWidth="1"/>
    <col min="10688" max="10688" width="10.85546875" style="237" customWidth="1"/>
    <col min="10689" max="10689" width="14.5703125" style="237" customWidth="1"/>
    <col min="10690" max="10690" width="11" style="237" customWidth="1"/>
    <col min="10691" max="10691" width="10.85546875" style="237" customWidth="1"/>
    <col min="10692" max="10692" width="14.5703125" style="237" customWidth="1"/>
    <col min="10693" max="10694" width="15.5703125" style="237" customWidth="1"/>
    <col min="10695" max="10695" width="17.7109375" style="237" customWidth="1"/>
    <col min="10696" max="10921" width="29.28515625" style="237" customWidth="1"/>
    <col min="10922" max="10922" width="42.42578125" style="237" customWidth="1"/>
    <col min="10923" max="10925" width="12.42578125" style="237" customWidth="1"/>
    <col min="10926" max="10928" width="10.85546875" style="237" customWidth="1"/>
    <col min="10929" max="10931" width="14.5703125" style="237" bestFit="1" customWidth="1"/>
    <col min="10932" max="10934" width="11" style="237" customWidth="1"/>
    <col min="10935" max="10937" width="14.5703125" style="237" customWidth="1"/>
    <col min="10938" max="10940" width="15.28515625" style="237" customWidth="1"/>
    <col min="10941" max="10941" width="15.5703125" style="237"/>
    <col min="10942" max="10942" width="44.5703125" style="237" customWidth="1"/>
    <col min="10943" max="10943" width="13.85546875" style="237" customWidth="1"/>
    <col min="10944" max="10944" width="10.85546875" style="237" customWidth="1"/>
    <col min="10945" max="10945" width="14.5703125" style="237" customWidth="1"/>
    <col min="10946" max="10946" width="11" style="237" customWidth="1"/>
    <col min="10947" max="10947" width="10.85546875" style="237" customWidth="1"/>
    <col min="10948" max="10948" width="14.5703125" style="237" customWidth="1"/>
    <col min="10949" max="10950" width="15.5703125" style="237" customWidth="1"/>
    <col min="10951" max="10951" width="17.7109375" style="237" customWidth="1"/>
    <col min="10952" max="11177" width="29.28515625" style="237" customWidth="1"/>
    <col min="11178" max="11178" width="42.42578125" style="237" customWidth="1"/>
    <col min="11179" max="11181" width="12.42578125" style="237" customWidth="1"/>
    <col min="11182" max="11184" width="10.85546875" style="237" customWidth="1"/>
    <col min="11185" max="11187" width="14.5703125" style="237" bestFit="1" customWidth="1"/>
    <col min="11188" max="11190" width="11" style="237" customWidth="1"/>
    <col min="11191" max="11193" width="14.5703125" style="237" customWidth="1"/>
    <col min="11194" max="11196" width="15.28515625" style="237" customWidth="1"/>
    <col min="11197" max="11197" width="15.5703125" style="237"/>
    <col min="11198" max="11198" width="44.5703125" style="237" customWidth="1"/>
    <col min="11199" max="11199" width="13.85546875" style="237" customWidth="1"/>
    <col min="11200" max="11200" width="10.85546875" style="237" customWidth="1"/>
    <col min="11201" max="11201" width="14.5703125" style="237" customWidth="1"/>
    <col min="11202" max="11202" width="11" style="237" customWidth="1"/>
    <col min="11203" max="11203" width="10.85546875" style="237" customWidth="1"/>
    <col min="11204" max="11204" width="14.5703125" style="237" customWidth="1"/>
    <col min="11205" max="11206" width="15.5703125" style="237" customWidth="1"/>
    <col min="11207" max="11207" width="17.7109375" style="237" customWidth="1"/>
    <col min="11208" max="11433" width="29.28515625" style="237" customWidth="1"/>
    <col min="11434" max="11434" width="42.42578125" style="237" customWidth="1"/>
    <col min="11435" max="11437" width="12.42578125" style="237" customWidth="1"/>
    <col min="11438" max="11440" width="10.85546875" style="237" customWidth="1"/>
    <col min="11441" max="11443" width="14.5703125" style="237" bestFit="1" customWidth="1"/>
    <col min="11444" max="11446" width="11" style="237" customWidth="1"/>
    <col min="11447" max="11449" width="14.5703125" style="237" customWidth="1"/>
    <col min="11450" max="11452" width="15.28515625" style="237" customWidth="1"/>
    <col min="11453" max="11453" width="15.5703125" style="237"/>
    <col min="11454" max="11454" width="44.5703125" style="237" customWidth="1"/>
    <col min="11455" max="11455" width="13.85546875" style="237" customWidth="1"/>
    <col min="11456" max="11456" width="10.85546875" style="237" customWidth="1"/>
    <col min="11457" max="11457" width="14.5703125" style="237" customWidth="1"/>
    <col min="11458" max="11458" width="11" style="237" customWidth="1"/>
    <col min="11459" max="11459" width="10.85546875" style="237" customWidth="1"/>
    <col min="11460" max="11460" width="14.5703125" style="237" customWidth="1"/>
    <col min="11461" max="11462" width="15.5703125" style="237" customWidth="1"/>
    <col min="11463" max="11463" width="17.7109375" style="237" customWidth="1"/>
    <col min="11464" max="11689" width="29.28515625" style="237" customWidth="1"/>
    <col min="11690" max="11690" width="42.42578125" style="237" customWidth="1"/>
    <col min="11691" max="11693" width="12.42578125" style="237" customWidth="1"/>
    <col min="11694" max="11696" width="10.85546875" style="237" customWidth="1"/>
    <col min="11697" max="11699" width="14.5703125" style="237" bestFit="1" customWidth="1"/>
    <col min="11700" max="11702" width="11" style="237" customWidth="1"/>
    <col min="11703" max="11705" width="14.5703125" style="237" customWidth="1"/>
    <col min="11706" max="11708" width="15.28515625" style="237" customWidth="1"/>
    <col min="11709" max="11709" width="15.5703125" style="237"/>
    <col min="11710" max="11710" width="44.5703125" style="237" customWidth="1"/>
    <col min="11711" max="11711" width="13.85546875" style="237" customWidth="1"/>
    <col min="11712" max="11712" width="10.85546875" style="237" customWidth="1"/>
    <col min="11713" max="11713" width="14.5703125" style="237" customWidth="1"/>
    <col min="11714" max="11714" width="11" style="237" customWidth="1"/>
    <col min="11715" max="11715" width="10.85546875" style="237" customWidth="1"/>
    <col min="11716" max="11716" width="14.5703125" style="237" customWidth="1"/>
    <col min="11717" max="11718" width="15.5703125" style="237" customWidth="1"/>
    <col min="11719" max="11719" width="17.7109375" style="237" customWidth="1"/>
    <col min="11720" max="11945" width="29.28515625" style="237" customWidth="1"/>
    <col min="11946" max="11946" width="42.42578125" style="237" customWidth="1"/>
    <col min="11947" max="11949" width="12.42578125" style="237" customWidth="1"/>
    <col min="11950" max="11952" width="10.85546875" style="237" customWidth="1"/>
    <col min="11953" max="11955" width="14.5703125" style="237" bestFit="1" customWidth="1"/>
    <col min="11956" max="11958" width="11" style="237" customWidth="1"/>
    <col min="11959" max="11961" width="14.5703125" style="237" customWidth="1"/>
    <col min="11962" max="11964" width="15.28515625" style="237" customWidth="1"/>
    <col min="11965" max="11965" width="15.5703125" style="237"/>
    <col min="11966" max="11966" width="44.5703125" style="237" customWidth="1"/>
    <col min="11967" max="11967" width="13.85546875" style="237" customWidth="1"/>
    <col min="11968" max="11968" width="10.85546875" style="237" customWidth="1"/>
    <col min="11969" max="11969" width="14.5703125" style="237" customWidth="1"/>
    <col min="11970" max="11970" width="11" style="237" customWidth="1"/>
    <col min="11971" max="11971" width="10.85546875" style="237" customWidth="1"/>
    <col min="11972" max="11972" width="14.5703125" style="237" customWidth="1"/>
    <col min="11973" max="11974" width="15.5703125" style="237" customWidth="1"/>
    <col min="11975" max="11975" width="17.7109375" style="237" customWidth="1"/>
    <col min="11976" max="12201" width="29.28515625" style="237" customWidth="1"/>
    <col min="12202" max="12202" width="42.42578125" style="237" customWidth="1"/>
    <col min="12203" max="12205" width="12.42578125" style="237" customWidth="1"/>
    <col min="12206" max="12208" width="10.85546875" style="237" customWidth="1"/>
    <col min="12209" max="12211" width="14.5703125" style="237" bestFit="1" customWidth="1"/>
    <col min="12212" max="12214" width="11" style="237" customWidth="1"/>
    <col min="12215" max="12217" width="14.5703125" style="237" customWidth="1"/>
    <col min="12218" max="12220" width="15.28515625" style="237" customWidth="1"/>
    <col min="12221" max="12221" width="15.5703125" style="237"/>
    <col min="12222" max="12222" width="44.5703125" style="237" customWidth="1"/>
    <col min="12223" max="12223" width="13.85546875" style="237" customWidth="1"/>
    <col min="12224" max="12224" width="10.85546875" style="237" customWidth="1"/>
    <col min="12225" max="12225" width="14.5703125" style="237" customWidth="1"/>
    <col min="12226" max="12226" width="11" style="237" customWidth="1"/>
    <col min="12227" max="12227" width="10.85546875" style="237" customWidth="1"/>
    <col min="12228" max="12228" width="14.5703125" style="237" customWidth="1"/>
    <col min="12229" max="12230" width="15.5703125" style="237" customWidth="1"/>
    <col min="12231" max="12231" width="17.7109375" style="237" customWidth="1"/>
    <col min="12232" max="12457" width="29.28515625" style="237" customWidth="1"/>
    <col min="12458" max="12458" width="42.42578125" style="237" customWidth="1"/>
    <col min="12459" max="12461" width="12.42578125" style="237" customWidth="1"/>
    <col min="12462" max="12464" width="10.85546875" style="237" customWidth="1"/>
    <col min="12465" max="12467" width="14.5703125" style="237" bestFit="1" customWidth="1"/>
    <col min="12468" max="12470" width="11" style="237" customWidth="1"/>
    <col min="12471" max="12473" width="14.5703125" style="237" customWidth="1"/>
    <col min="12474" max="12476" width="15.28515625" style="237" customWidth="1"/>
    <col min="12477" max="12477" width="15.5703125" style="237"/>
    <col min="12478" max="12478" width="44.5703125" style="237" customWidth="1"/>
    <col min="12479" max="12479" width="13.85546875" style="237" customWidth="1"/>
    <col min="12480" max="12480" width="10.85546875" style="237" customWidth="1"/>
    <col min="12481" max="12481" width="14.5703125" style="237" customWidth="1"/>
    <col min="12482" max="12482" width="11" style="237" customWidth="1"/>
    <col min="12483" max="12483" width="10.85546875" style="237" customWidth="1"/>
    <col min="12484" max="12484" width="14.5703125" style="237" customWidth="1"/>
    <col min="12485" max="12486" width="15.5703125" style="237" customWidth="1"/>
    <col min="12487" max="12487" width="17.7109375" style="237" customWidth="1"/>
    <col min="12488" max="12713" width="29.28515625" style="237" customWidth="1"/>
    <col min="12714" max="12714" width="42.42578125" style="237" customWidth="1"/>
    <col min="12715" max="12717" width="12.42578125" style="237" customWidth="1"/>
    <col min="12718" max="12720" width="10.85546875" style="237" customWidth="1"/>
    <col min="12721" max="12723" width="14.5703125" style="237" bestFit="1" customWidth="1"/>
    <col min="12724" max="12726" width="11" style="237" customWidth="1"/>
    <col min="12727" max="12729" width="14.5703125" style="237" customWidth="1"/>
    <col min="12730" max="12732" width="15.28515625" style="237" customWidth="1"/>
    <col min="12733" max="12733" width="15.5703125" style="237"/>
    <col min="12734" max="12734" width="44.5703125" style="237" customWidth="1"/>
    <col min="12735" max="12735" width="13.85546875" style="237" customWidth="1"/>
    <col min="12736" max="12736" width="10.85546875" style="237" customWidth="1"/>
    <col min="12737" max="12737" width="14.5703125" style="237" customWidth="1"/>
    <col min="12738" max="12738" width="11" style="237" customWidth="1"/>
    <col min="12739" max="12739" width="10.85546875" style="237" customWidth="1"/>
    <col min="12740" max="12740" width="14.5703125" style="237" customWidth="1"/>
    <col min="12741" max="12742" width="15.5703125" style="237" customWidth="1"/>
    <col min="12743" max="12743" width="17.7109375" style="237" customWidth="1"/>
    <col min="12744" max="12969" width="29.28515625" style="237" customWidth="1"/>
    <col min="12970" max="12970" width="42.42578125" style="237" customWidth="1"/>
    <col min="12971" max="12973" width="12.42578125" style="237" customWidth="1"/>
    <col min="12974" max="12976" width="10.85546875" style="237" customWidth="1"/>
    <col min="12977" max="12979" width="14.5703125" style="237" bestFit="1" customWidth="1"/>
    <col min="12980" max="12982" width="11" style="237" customWidth="1"/>
    <col min="12983" max="12985" width="14.5703125" style="237" customWidth="1"/>
    <col min="12986" max="12988" width="15.28515625" style="237" customWidth="1"/>
    <col min="12989" max="12989" width="15.5703125" style="237"/>
    <col min="12990" max="12990" width="44.5703125" style="237" customWidth="1"/>
    <col min="12991" max="12991" width="13.85546875" style="237" customWidth="1"/>
    <col min="12992" max="12992" width="10.85546875" style="237" customWidth="1"/>
    <col min="12993" max="12993" width="14.5703125" style="237" customWidth="1"/>
    <col min="12994" max="12994" width="11" style="237" customWidth="1"/>
    <col min="12995" max="12995" width="10.85546875" style="237" customWidth="1"/>
    <col min="12996" max="12996" width="14.5703125" style="237" customWidth="1"/>
    <col min="12997" max="12998" width="15.5703125" style="237" customWidth="1"/>
    <col min="12999" max="12999" width="17.7109375" style="237" customWidth="1"/>
    <col min="13000" max="13225" width="29.28515625" style="237" customWidth="1"/>
    <col min="13226" max="13226" width="42.42578125" style="237" customWidth="1"/>
    <col min="13227" max="13229" width="12.42578125" style="237" customWidth="1"/>
    <col min="13230" max="13232" width="10.85546875" style="237" customWidth="1"/>
    <col min="13233" max="13235" width="14.5703125" style="237" bestFit="1" customWidth="1"/>
    <col min="13236" max="13238" width="11" style="237" customWidth="1"/>
    <col min="13239" max="13241" width="14.5703125" style="237" customWidth="1"/>
    <col min="13242" max="13244" width="15.28515625" style="237" customWidth="1"/>
    <col min="13245" max="13245" width="15.5703125" style="237"/>
    <col min="13246" max="13246" width="44.5703125" style="237" customWidth="1"/>
    <col min="13247" max="13247" width="13.85546875" style="237" customWidth="1"/>
    <col min="13248" max="13248" width="10.85546875" style="237" customWidth="1"/>
    <col min="13249" max="13249" width="14.5703125" style="237" customWidth="1"/>
    <col min="13250" max="13250" width="11" style="237" customWidth="1"/>
    <col min="13251" max="13251" width="10.85546875" style="237" customWidth="1"/>
    <col min="13252" max="13252" width="14.5703125" style="237" customWidth="1"/>
    <col min="13253" max="13254" width="15.5703125" style="237" customWidth="1"/>
    <col min="13255" max="13255" width="17.7109375" style="237" customWidth="1"/>
    <col min="13256" max="13481" width="29.28515625" style="237" customWidth="1"/>
    <col min="13482" max="13482" width="42.42578125" style="237" customWidth="1"/>
    <col min="13483" max="13485" width="12.42578125" style="237" customWidth="1"/>
    <col min="13486" max="13488" width="10.85546875" style="237" customWidth="1"/>
    <col min="13489" max="13491" width="14.5703125" style="237" bestFit="1" customWidth="1"/>
    <col min="13492" max="13494" width="11" style="237" customWidth="1"/>
    <col min="13495" max="13497" width="14.5703125" style="237" customWidth="1"/>
    <col min="13498" max="13500" width="15.28515625" style="237" customWidth="1"/>
    <col min="13501" max="13501" width="15.5703125" style="237"/>
    <col min="13502" max="13502" width="44.5703125" style="237" customWidth="1"/>
    <col min="13503" max="13503" width="13.85546875" style="237" customWidth="1"/>
    <col min="13504" max="13504" width="10.85546875" style="237" customWidth="1"/>
    <col min="13505" max="13505" width="14.5703125" style="237" customWidth="1"/>
    <col min="13506" max="13506" width="11" style="237" customWidth="1"/>
    <col min="13507" max="13507" width="10.85546875" style="237" customWidth="1"/>
    <col min="13508" max="13508" width="14.5703125" style="237" customWidth="1"/>
    <col min="13509" max="13510" width="15.5703125" style="237" customWidth="1"/>
    <col min="13511" max="13511" width="17.7109375" style="237" customWidth="1"/>
    <col min="13512" max="13737" width="29.28515625" style="237" customWidth="1"/>
    <col min="13738" max="13738" width="42.42578125" style="237" customWidth="1"/>
    <col min="13739" max="13741" width="12.42578125" style="237" customWidth="1"/>
    <col min="13742" max="13744" width="10.85546875" style="237" customWidth="1"/>
    <col min="13745" max="13747" width="14.5703125" style="237" bestFit="1" customWidth="1"/>
    <col min="13748" max="13750" width="11" style="237" customWidth="1"/>
    <col min="13751" max="13753" width="14.5703125" style="237" customWidth="1"/>
    <col min="13754" max="13756" width="15.28515625" style="237" customWidth="1"/>
    <col min="13757" max="13757" width="15.5703125" style="237"/>
    <col min="13758" max="13758" width="44.5703125" style="237" customWidth="1"/>
    <col min="13759" max="13759" width="13.85546875" style="237" customWidth="1"/>
    <col min="13760" max="13760" width="10.85546875" style="237" customWidth="1"/>
    <col min="13761" max="13761" width="14.5703125" style="237" customWidth="1"/>
    <col min="13762" max="13762" width="11" style="237" customWidth="1"/>
    <col min="13763" max="13763" width="10.85546875" style="237" customWidth="1"/>
    <col min="13764" max="13764" width="14.5703125" style="237" customWidth="1"/>
    <col min="13765" max="13766" width="15.5703125" style="237" customWidth="1"/>
    <col min="13767" max="13767" width="17.7109375" style="237" customWidth="1"/>
    <col min="13768" max="13993" width="29.28515625" style="237" customWidth="1"/>
    <col min="13994" max="13994" width="42.42578125" style="237" customWidth="1"/>
    <col min="13995" max="13997" width="12.42578125" style="237" customWidth="1"/>
    <col min="13998" max="14000" width="10.85546875" style="237" customWidth="1"/>
    <col min="14001" max="14003" width="14.5703125" style="237" bestFit="1" customWidth="1"/>
    <col min="14004" max="14006" width="11" style="237" customWidth="1"/>
    <col min="14007" max="14009" width="14.5703125" style="237" customWidth="1"/>
    <col min="14010" max="14012" width="15.28515625" style="237" customWidth="1"/>
    <col min="14013" max="14013" width="15.5703125" style="237"/>
    <col min="14014" max="14014" width="44.5703125" style="237" customWidth="1"/>
    <col min="14015" max="14015" width="13.85546875" style="237" customWidth="1"/>
    <col min="14016" max="14016" width="10.85546875" style="237" customWidth="1"/>
    <col min="14017" max="14017" width="14.5703125" style="237" customWidth="1"/>
    <col min="14018" max="14018" width="11" style="237" customWidth="1"/>
    <col min="14019" max="14019" width="10.85546875" style="237" customWidth="1"/>
    <col min="14020" max="14020" width="14.5703125" style="237" customWidth="1"/>
    <col min="14021" max="14022" width="15.5703125" style="237" customWidth="1"/>
    <col min="14023" max="14023" width="17.7109375" style="237" customWidth="1"/>
    <col min="14024" max="14249" width="29.28515625" style="237" customWidth="1"/>
    <col min="14250" max="14250" width="42.42578125" style="237" customWidth="1"/>
    <col min="14251" max="14253" width="12.42578125" style="237" customWidth="1"/>
    <col min="14254" max="14256" width="10.85546875" style="237" customWidth="1"/>
    <col min="14257" max="14259" width="14.5703125" style="237" bestFit="1" customWidth="1"/>
    <col min="14260" max="14262" width="11" style="237" customWidth="1"/>
    <col min="14263" max="14265" width="14.5703125" style="237" customWidth="1"/>
    <col min="14266" max="14268" width="15.28515625" style="237" customWidth="1"/>
    <col min="14269" max="14269" width="15.5703125" style="237"/>
    <col min="14270" max="14270" width="44.5703125" style="237" customWidth="1"/>
    <col min="14271" max="14271" width="13.85546875" style="237" customWidth="1"/>
    <col min="14272" max="14272" width="10.85546875" style="237" customWidth="1"/>
    <col min="14273" max="14273" width="14.5703125" style="237" customWidth="1"/>
    <col min="14274" max="14274" width="11" style="237" customWidth="1"/>
    <col min="14275" max="14275" width="10.85546875" style="237" customWidth="1"/>
    <col min="14276" max="14276" width="14.5703125" style="237" customWidth="1"/>
    <col min="14277" max="14278" width="15.5703125" style="237" customWidth="1"/>
    <col min="14279" max="14279" width="17.7109375" style="237" customWidth="1"/>
    <col min="14280" max="14505" width="29.28515625" style="237" customWidth="1"/>
    <col min="14506" max="14506" width="42.42578125" style="237" customWidth="1"/>
    <col min="14507" max="14509" width="12.42578125" style="237" customWidth="1"/>
    <col min="14510" max="14512" width="10.85546875" style="237" customWidth="1"/>
    <col min="14513" max="14515" width="14.5703125" style="237" bestFit="1" customWidth="1"/>
    <col min="14516" max="14518" width="11" style="237" customWidth="1"/>
    <col min="14519" max="14521" width="14.5703125" style="237" customWidth="1"/>
    <col min="14522" max="14524" width="15.28515625" style="237" customWidth="1"/>
    <col min="14525" max="14525" width="15.5703125" style="237"/>
    <col min="14526" max="14526" width="44.5703125" style="237" customWidth="1"/>
    <col min="14527" max="14527" width="13.85546875" style="237" customWidth="1"/>
    <col min="14528" max="14528" width="10.85546875" style="237" customWidth="1"/>
    <col min="14529" max="14529" width="14.5703125" style="237" customWidth="1"/>
    <col min="14530" max="14530" width="11" style="237" customWidth="1"/>
    <col min="14531" max="14531" width="10.85546875" style="237" customWidth="1"/>
    <col min="14532" max="14532" width="14.5703125" style="237" customWidth="1"/>
    <col min="14533" max="14534" width="15.5703125" style="237" customWidth="1"/>
    <col min="14535" max="14535" width="17.7109375" style="237" customWidth="1"/>
    <col min="14536" max="14761" width="29.28515625" style="237" customWidth="1"/>
    <col min="14762" max="14762" width="42.42578125" style="237" customWidth="1"/>
    <col min="14763" max="14765" width="12.42578125" style="237" customWidth="1"/>
    <col min="14766" max="14768" width="10.85546875" style="237" customWidth="1"/>
    <col min="14769" max="14771" width="14.5703125" style="237" bestFit="1" customWidth="1"/>
    <col min="14772" max="14774" width="11" style="237" customWidth="1"/>
    <col min="14775" max="14777" width="14.5703125" style="237" customWidth="1"/>
    <col min="14778" max="14780" width="15.28515625" style="237" customWidth="1"/>
    <col min="14781" max="14781" width="15.5703125" style="237"/>
    <col min="14782" max="14782" width="44.5703125" style="237" customWidth="1"/>
    <col min="14783" max="14783" width="13.85546875" style="237" customWidth="1"/>
    <col min="14784" max="14784" width="10.85546875" style="237" customWidth="1"/>
    <col min="14785" max="14785" width="14.5703125" style="237" customWidth="1"/>
    <col min="14786" max="14786" width="11" style="237" customWidth="1"/>
    <col min="14787" max="14787" width="10.85546875" style="237" customWidth="1"/>
    <col min="14788" max="14788" width="14.5703125" style="237" customWidth="1"/>
    <col min="14789" max="14790" width="15.5703125" style="237" customWidth="1"/>
    <col min="14791" max="14791" width="17.7109375" style="237" customWidth="1"/>
    <col min="14792" max="15017" width="29.28515625" style="237" customWidth="1"/>
    <col min="15018" max="15018" width="42.42578125" style="237" customWidth="1"/>
    <col min="15019" max="15021" width="12.42578125" style="237" customWidth="1"/>
    <col min="15022" max="15024" width="10.85546875" style="237" customWidth="1"/>
    <col min="15025" max="15027" width="14.5703125" style="237" bestFit="1" customWidth="1"/>
    <col min="15028" max="15030" width="11" style="237" customWidth="1"/>
    <col min="15031" max="15033" width="14.5703125" style="237" customWidth="1"/>
    <col min="15034" max="15036" width="15.28515625" style="237" customWidth="1"/>
    <col min="15037" max="15037" width="15.5703125" style="237"/>
    <col min="15038" max="15038" width="44.5703125" style="237" customWidth="1"/>
    <col min="15039" max="15039" width="13.85546875" style="237" customWidth="1"/>
    <col min="15040" max="15040" width="10.85546875" style="237" customWidth="1"/>
    <col min="15041" max="15041" width="14.5703125" style="237" customWidth="1"/>
    <col min="15042" max="15042" width="11" style="237" customWidth="1"/>
    <col min="15043" max="15043" width="10.85546875" style="237" customWidth="1"/>
    <col min="15044" max="15044" width="14.5703125" style="237" customWidth="1"/>
    <col min="15045" max="15046" width="15.5703125" style="237" customWidth="1"/>
    <col min="15047" max="15047" width="17.7109375" style="237" customWidth="1"/>
    <col min="15048" max="15273" width="29.28515625" style="237" customWidth="1"/>
    <col min="15274" max="15274" width="42.42578125" style="237" customWidth="1"/>
    <col min="15275" max="15277" width="12.42578125" style="237" customWidth="1"/>
    <col min="15278" max="15280" width="10.85546875" style="237" customWidth="1"/>
    <col min="15281" max="15283" width="14.5703125" style="237" bestFit="1" customWidth="1"/>
    <col min="15284" max="15286" width="11" style="237" customWidth="1"/>
    <col min="15287" max="15289" width="14.5703125" style="237" customWidth="1"/>
    <col min="15290" max="15292" width="15.28515625" style="237" customWidth="1"/>
    <col min="15293" max="15293" width="15.5703125" style="237"/>
    <col min="15294" max="15294" width="44.5703125" style="237" customWidth="1"/>
    <col min="15295" max="15295" width="13.85546875" style="237" customWidth="1"/>
    <col min="15296" max="15296" width="10.85546875" style="237" customWidth="1"/>
    <col min="15297" max="15297" width="14.5703125" style="237" customWidth="1"/>
    <col min="15298" max="15298" width="11" style="237" customWidth="1"/>
    <col min="15299" max="15299" width="10.85546875" style="237" customWidth="1"/>
    <col min="15300" max="15300" width="14.5703125" style="237" customWidth="1"/>
    <col min="15301" max="15302" width="15.5703125" style="237" customWidth="1"/>
    <col min="15303" max="15303" width="17.7109375" style="237" customWidth="1"/>
    <col min="15304" max="15529" width="29.28515625" style="237" customWidth="1"/>
    <col min="15530" max="15530" width="42.42578125" style="237" customWidth="1"/>
    <col min="15531" max="15533" width="12.42578125" style="237" customWidth="1"/>
    <col min="15534" max="15536" width="10.85546875" style="237" customWidth="1"/>
    <col min="15537" max="15539" width="14.5703125" style="237" bestFit="1" customWidth="1"/>
    <col min="15540" max="15542" width="11" style="237" customWidth="1"/>
    <col min="15543" max="15545" width="14.5703125" style="237" customWidth="1"/>
    <col min="15546" max="15548" width="15.28515625" style="237" customWidth="1"/>
    <col min="15549" max="15549" width="15.5703125" style="237"/>
    <col min="15550" max="15550" width="44.5703125" style="237" customWidth="1"/>
    <col min="15551" max="15551" width="13.85546875" style="237" customWidth="1"/>
    <col min="15552" max="15552" width="10.85546875" style="237" customWidth="1"/>
    <col min="15553" max="15553" width="14.5703125" style="237" customWidth="1"/>
    <col min="15554" max="15554" width="11" style="237" customWidth="1"/>
    <col min="15555" max="15555" width="10.85546875" style="237" customWidth="1"/>
    <col min="15556" max="15556" width="14.5703125" style="237" customWidth="1"/>
    <col min="15557" max="15558" width="15.5703125" style="237" customWidth="1"/>
    <col min="15559" max="15559" width="17.7109375" style="237" customWidth="1"/>
    <col min="15560" max="15785" width="29.28515625" style="237" customWidth="1"/>
    <col min="15786" max="15786" width="42.42578125" style="237" customWidth="1"/>
    <col min="15787" max="15789" width="12.42578125" style="237" customWidth="1"/>
    <col min="15790" max="15792" width="10.85546875" style="237" customWidth="1"/>
    <col min="15793" max="15795" width="14.5703125" style="237" bestFit="1" customWidth="1"/>
    <col min="15796" max="15798" width="11" style="237" customWidth="1"/>
    <col min="15799" max="15801" width="14.5703125" style="237" customWidth="1"/>
    <col min="15802" max="15804" width="15.28515625" style="237" customWidth="1"/>
    <col min="15805" max="15805" width="15.5703125" style="237"/>
    <col min="15806" max="15806" width="44.5703125" style="237" customWidth="1"/>
    <col min="15807" max="15807" width="13.85546875" style="237" customWidth="1"/>
    <col min="15808" max="15808" width="10.85546875" style="237" customWidth="1"/>
    <col min="15809" max="15809" width="14.5703125" style="237" customWidth="1"/>
    <col min="15810" max="15810" width="11" style="237" customWidth="1"/>
    <col min="15811" max="15811" width="10.85546875" style="237" customWidth="1"/>
    <col min="15812" max="15812" width="14.5703125" style="237" customWidth="1"/>
    <col min="15813" max="15814" width="15.5703125" style="237" customWidth="1"/>
    <col min="15815" max="15815" width="17.7109375" style="237" customWidth="1"/>
    <col min="15816" max="16041" width="29.28515625" style="237" customWidth="1"/>
    <col min="16042" max="16042" width="42.42578125" style="237" customWidth="1"/>
    <col min="16043" max="16045" width="12.42578125" style="237" customWidth="1"/>
    <col min="16046" max="16048" width="10.85546875" style="237" customWidth="1"/>
    <col min="16049" max="16051" width="14.5703125" style="237" bestFit="1" customWidth="1"/>
    <col min="16052" max="16054" width="11" style="237" customWidth="1"/>
    <col min="16055" max="16057" width="14.5703125" style="237" customWidth="1"/>
    <col min="16058" max="16060" width="15.28515625" style="237" customWidth="1"/>
    <col min="16061" max="16061" width="15.5703125" style="237"/>
    <col min="16062" max="16062" width="44.5703125" style="237" customWidth="1"/>
    <col min="16063" max="16063" width="13.85546875" style="237" customWidth="1"/>
    <col min="16064" max="16064" width="10.85546875" style="237" customWidth="1"/>
    <col min="16065" max="16065" width="14.5703125" style="237" customWidth="1"/>
    <col min="16066" max="16066" width="11" style="237" customWidth="1"/>
    <col min="16067" max="16067" width="10.85546875" style="237" customWidth="1"/>
    <col min="16068" max="16068" width="14.5703125" style="237" customWidth="1"/>
    <col min="16069" max="16070" width="15.5703125" style="237" customWidth="1"/>
    <col min="16071" max="16071" width="17.7109375" style="237" customWidth="1"/>
    <col min="16072" max="16297" width="29.28515625" style="237" customWidth="1"/>
    <col min="16298" max="16298" width="42.42578125" style="237" customWidth="1"/>
    <col min="16299" max="16384" width="12.42578125" style="237" customWidth="1"/>
  </cols>
  <sheetData>
    <row r="1" spans="1:189" x14ac:dyDescent="0.25">
      <c r="T1" s="238"/>
      <c r="U1" s="238"/>
      <c r="V1" s="238"/>
      <c r="W1" s="238"/>
      <c r="X1" s="238"/>
      <c r="Y1" s="238"/>
      <c r="Z1" s="239"/>
      <c r="AA1" s="238"/>
      <c r="AB1" s="239" t="s">
        <v>394</v>
      </c>
    </row>
    <row r="2" spans="1:189" x14ac:dyDescent="0.25">
      <c r="Z2" s="240"/>
    </row>
    <row r="3" spans="1:189" x14ac:dyDescent="0.2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</row>
    <row r="4" spans="1:189" s="240" customFormat="1" x14ac:dyDescent="0.25">
      <c r="A4" s="242" t="s">
        <v>544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</row>
    <row r="5" spans="1:189" s="240" customFormat="1" x14ac:dyDescent="0.25">
      <c r="A5" s="242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</row>
    <row r="6" spans="1:189" s="246" customFormat="1" ht="63" x14ac:dyDescent="0.25">
      <c r="A6" s="243" t="s">
        <v>1</v>
      </c>
      <c r="B6" s="244" t="s">
        <v>2</v>
      </c>
      <c r="C6" s="244" t="s">
        <v>2</v>
      </c>
      <c r="D6" s="244" t="s">
        <v>2</v>
      </c>
      <c r="E6" s="245" t="s">
        <v>3</v>
      </c>
      <c r="F6" s="245" t="s">
        <v>3</v>
      </c>
      <c r="G6" s="245" t="s">
        <v>3</v>
      </c>
      <c r="H6" s="245" t="s">
        <v>4</v>
      </c>
      <c r="I6" s="245" t="s">
        <v>4</v>
      </c>
      <c r="J6" s="245" t="s">
        <v>4</v>
      </c>
      <c r="K6" s="245" t="s">
        <v>5</v>
      </c>
      <c r="L6" s="245" t="s">
        <v>5</v>
      </c>
      <c r="M6" s="245" t="s">
        <v>5</v>
      </c>
      <c r="N6" s="245" t="s">
        <v>6</v>
      </c>
      <c r="O6" s="245" t="s">
        <v>6</v>
      </c>
      <c r="P6" s="245" t="s">
        <v>6</v>
      </c>
      <c r="Q6" s="245" t="s">
        <v>7</v>
      </c>
      <c r="R6" s="245" t="s">
        <v>7</v>
      </c>
      <c r="S6" s="245" t="s">
        <v>7</v>
      </c>
      <c r="T6" s="245" t="s">
        <v>8</v>
      </c>
      <c r="U6" s="245" t="s">
        <v>8</v>
      </c>
      <c r="V6" s="245" t="s">
        <v>8</v>
      </c>
      <c r="W6" s="245" t="s">
        <v>210</v>
      </c>
      <c r="X6" s="245" t="s">
        <v>210</v>
      </c>
      <c r="Y6" s="245" t="s">
        <v>210</v>
      </c>
      <c r="Z6" s="245" t="s">
        <v>9</v>
      </c>
      <c r="AA6" s="245" t="s">
        <v>9</v>
      </c>
      <c r="AB6" s="245" t="s">
        <v>9</v>
      </c>
    </row>
    <row r="7" spans="1:189" s="246" customFormat="1" x14ac:dyDescent="0.25">
      <c r="A7" s="247"/>
      <c r="B7" s="248" t="s">
        <v>207</v>
      </c>
      <c r="C7" s="248" t="s">
        <v>208</v>
      </c>
      <c r="D7" s="248" t="s">
        <v>209</v>
      </c>
      <c r="E7" s="248" t="s">
        <v>207</v>
      </c>
      <c r="F7" s="248" t="s">
        <v>208</v>
      </c>
      <c r="G7" s="248" t="s">
        <v>209</v>
      </c>
      <c r="H7" s="248" t="s">
        <v>207</v>
      </c>
      <c r="I7" s="248" t="s">
        <v>208</v>
      </c>
      <c r="J7" s="248" t="s">
        <v>209</v>
      </c>
      <c r="K7" s="248" t="s">
        <v>207</v>
      </c>
      <c r="L7" s="248" t="s">
        <v>208</v>
      </c>
      <c r="M7" s="248" t="s">
        <v>209</v>
      </c>
      <c r="N7" s="248" t="s">
        <v>207</v>
      </c>
      <c r="O7" s="248" t="s">
        <v>208</v>
      </c>
      <c r="P7" s="248" t="s">
        <v>209</v>
      </c>
      <c r="Q7" s="248" t="s">
        <v>207</v>
      </c>
      <c r="R7" s="248" t="s">
        <v>208</v>
      </c>
      <c r="S7" s="248" t="s">
        <v>209</v>
      </c>
      <c r="T7" s="248" t="s">
        <v>207</v>
      </c>
      <c r="U7" s="248" t="s">
        <v>208</v>
      </c>
      <c r="V7" s="248" t="s">
        <v>209</v>
      </c>
      <c r="W7" s="248" t="s">
        <v>207</v>
      </c>
      <c r="X7" s="248" t="s">
        <v>208</v>
      </c>
      <c r="Y7" s="248" t="s">
        <v>209</v>
      </c>
      <c r="Z7" s="248" t="s">
        <v>207</v>
      </c>
      <c r="AA7" s="248" t="s">
        <v>208</v>
      </c>
      <c r="AB7" s="248" t="s">
        <v>209</v>
      </c>
    </row>
    <row r="8" spans="1:189" s="251" customFormat="1" x14ac:dyDescent="0.25">
      <c r="A8" s="249" t="s">
        <v>10</v>
      </c>
      <c r="B8" s="250">
        <f>E8+H8+K8+N8+Q8+T8+Z8+W8</f>
        <v>36169686</v>
      </c>
      <c r="C8" s="250">
        <f>F8+I8+L8+O8+R8+U8+AA8+X8</f>
        <v>36321469</v>
      </c>
      <c r="D8" s="250">
        <f>G8+J8+M8+P8+S8+V8+AB8+Y8</f>
        <v>151783</v>
      </c>
      <c r="E8" s="250">
        <f>SUM(E9,E177,E399,E415,E418)</f>
        <v>1617421</v>
      </c>
      <c r="F8" s="250">
        <f>SUM(F9,F177,F399,F415,F418)</f>
        <v>1617421</v>
      </c>
      <c r="G8" s="250">
        <f>F8-E8</f>
        <v>0</v>
      </c>
      <c r="H8" s="250">
        <f>SUM(H9,H177,H399,H415,H418)</f>
        <v>511840</v>
      </c>
      <c r="I8" s="250">
        <f>SUM(I9,I177,I399,I415,I418)</f>
        <v>827468</v>
      </c>
      <c r="J8" s="250">
        <f t="shared" ref="J8:J72" si="0">I8-H8</f>
        <v>315628</v>
      </c>
      <c r="K8" s="250">
        <f>SUM(K9,K177,K399,K415,K418)</f>
        <v>3390650</v>
      </c>
      <c r="L8" s="250">
        <f>SUM(L9,L177,L399,L415,L418)</f>
        <v>2771158</v>
      </c>
      <c r="M8" s="250">
        <f t="shared" ref="M8:M72" si="1">L8-K8</f>
        <v>-619492</v>
      </c>
      <c r="N8" s="250">
        <f>SUM(N9,N177,N399,N415,N418)</f>
        <v>13500656</v>
      </c>
      <c r="O8" s="250">
        <f>SUM(O9,O177,O399,O415,O418)</f>
        <v>13487783</v>
      </c>
      <c r="P8" s="250">
        <f t="shared" ref="P8:P72" si="2">O8-N8</f>
        <v>-12873</v>
      </c>
      <c r="Q8" s="250">
        <f>SUM(Q9,Q177,Q399,Q415,Q418)</f>
        <v>990342</v>
      </c>
      <c r="R8" s="250">
        <f>SUM(R9,R177,R399,R415,R418)</f>
        <v>965622</v>
      </c>
      <c r="S8" s="250">
        <f t="shared" ref="S8:S72" si="3">R8-Q8</f>
        <v>-24720</v>
      </c>
      <c r="T8" s="250">
        <f>SUM(T9,T177,T399,T415,T418)</f>
        <v>9711335</v>
      </c>
      <c r="U8" s="250">
        <f>SUM(U9,U177,U399,U415,U418)</f>
        <v>9711340</v>
      </c>
      <c r="V8" s="250">
        <f t="shared" ref="V8:V72" si="4">U8-T8</f>
        <v>5</v>
      </c>
      <c r="W8" s="250">
        <f>SUM(W9,W177,W399,W415,W418)</f>
        <v>159818</v>
      </c>
      <c r="X8" s="250">
        <f>SUM(X9,X177,X399,X415,X418)</f>
        <v>1453053</v>
      </c>
      <c r="Y8" s="250">
        <f t="shared" ref="Y8:Y72" si="5">X8-W8</f>
        <v>1293235</v>
      </c>
      <c r="Z8" s="250">
        <f>SUM(Z9,Z177,Z399,Z415,Z418)</f>
        <v>6287624</v>
      </c>
      <c r="AA8" s="250">
        <f>SUM(AA9,AA177,AA399,AA415,AA418)</f>
        <v>5487624</v>
      </c>
      <c r="AB8" s="250">
        <f t="shared" ref="AB8:AB72" si="6">AA8-Z8</f>
        <v>-800000</v>
      </c>
    </row>
    <row r="9" spans="1:189" s="251" customFormat="1" x14ac:dyDescent="0.25">
      <c r="A9" s="252" t="s">
        <v>11</v>
      </c>
      <c r="B9" s="253">
        <f t="shared" ref="B9:D84" si="7">E9+H9+K9+N9+Q9+T9+Z9+W9</f>
        <v>18559799</v>
      </c>
      <c r="C9" s="253">
        <f t="shared" si="7"/>
        <v>18320947</v>
      </c>
      <c r="D9" s="253">
        <f t="shared" si="7"/>
        <v>-238852</v>
      </c>
      <c r="E9" s="253">
        <f>SUM(E10,E20,E36,E52,E148,E170,E47,E64)</f>
        <v>795753</v>
      </c>
      <c r="F9" s="253">
        <f>SUM(F10,F20,F36,F52,F148,F170,F47,F64)</f>
        <v>909241</v>
      </c>
      <c r="G9" s="253">
        <f t="shared" ref="G9:G95" si="8">F9-E9</f>
        <v>113488</v>
      </c>
      <c r="H9" s="253">
        <f>SUM(H10,H20,H36,H52,H148,H170,H47,H64)</f>
        <v>203612</v>
      </c>
      <c r="I9" s="253">
        <f>SUM(I10,I20,I36,I52,I148,I170,I47,I64)</f>
        <v>450534</v>
      </c>
      <c r="J9" s="253">
        <f t="shared" si="0"/>
        <v>246922</v>
      </c>
      <c r="K9" s="253">
        <f>SUM(K10,K20,K36,K52,K148,K170,K47,K64)</f>
        <v>2163994</v>
      </c>
      <c r="L9" s="253">
        <f>SUM(L10,L20,L36,L52,L148,L170,L47,L64)</f>
        <v>1454981</v>
      </c>
      <c r="M9" s="253">
        <f t="shared" si="1"/>
        <v>-709013</v>
      </c>
      <c r="N9" s="253">
        <f>SUM(N10,N20,N36,N52,N148,N170,N47,N64)</f>
        <v>7682616</v>
      </c>
      <c r="O9" s="253">
        <f>SUM(O10,O20,O36,O52,O148,O170,O47,O64)</f>
        <v>7306738</v>
      </c>
      <c r="P9" s="253">
        <f t="shared" si="2"/>
        <v>-375878</v>
      </c>
      <c r="Q9" s="253">
        <f>SUM(Q10,Q20,Q36,Q52,Q148,Q170,Q47,Q64)</f>
        <v>483970</v>
      </c>
      <c r="R9" s="253">
        <f>SUM(R10,R20,R36,R52,R148,R170,R47,R64)</f>
        <v>483970</v>
      </c>
      <c r="S9" s="253">
        <f t="shared" si="3"/>
        <v>0</v>
      </c>
      <c r="T9" s="253">
        <f>SUM(T10,T20,T36,T52,T148,T170,T47,T64)</f>
        <v>5379921</v>
      </c>
      <c r="U9" s="253">
        <f>SUM(U10,U20,U36,U52,U148,U170,U47,U64)</f>
        <v>5379926</v>
      </c>
      <c r="V9" s="253">
        <f t="shared" si="4"/>
        <v>5</v>
      </c>
      <c r="W9" s="253">
        <f>SUM(W10,W20,W36,W52,W148,W170,W47,W64)</f>
        <v>114133</v>
      </c>
      <c r="X9" s="253">
        <f>SUM(X10,X20,X36,X52,X148,X170,X47,X64)</f>
        <v>599757</v>
      </c>
      <c r="Y9" s="253">
        <f t="shared" si="5"/>
        <v>485624</v>
      </c>
      <c r="Z9" s="253">
        <f>SUM(Z10,Z20,Z36,Z52,Z148,Z170,Z47,Z64)</f>
        <v>1735800</v>
      </c>
      <c r="AA9" s="253">
        <f>SUM(AA10,AA20,AA36,AA52,AA148,AA170,AA47,AA64)</f>
        <v>1735800</v>
      </c>
      <c r="AB9" s="253">
        <f t="shared" si="6"/>
        <v>0</v>
      </c>
    </row>
    <row r="10" spans="1:189" s="254" customFormat="1" x14ac:dyDescent="0.25">
      <c r="A10" s="252" t="s">
        <v>12</v>
      </c>
      <c r="B10" s="253">
        <f t="shared" si="7"/>
        <v>33324</v>
      </c>
      <c r="C10" s="253">
        <f t="shared" si="7"/>
        <v>33324</v>
      </c>
      <c r="D10" s="253">
        <f t="shared" si="7"/>
        <v>0</v>
      </c>
      <c r="E10" s="253">
        <f t="shared" ref="E10:AA10" si="9">SUM(E11)</f>
        <v>0</v>
      </c>
      <c r="F10" s="253">
        <f t="shared" si="9"/>
        <v>0</v>
      </c>
      <c r="G10" s="253">
        <f t="shared" si="8"/>
        <v>0</v>
      </c>
      <c r="H10" s="253">
        <f t="shared" si="9"/>
        <v>13020</v>
      </c>
      <c r="I10" s="253">
        <f t="shared" si="9"/>
        <v>13020</v>
      </c>
      <c r="J10" s="253">
        <f t="shared" si="0"/>
        <v>0</v>
      </c>
      <c r="K10" s="253">
        <f t="shared" si="9"/>
        <v>20304</v>
      </c>
      <c r="L10" s="253">
        <f t="shared" si="9"/>
        <v>20304</v>
      </c>
      <c r="M10" s="253">
        <f t="shared" si="1"/>
        <v>0</v>
      </c>
      <c r="N10" s="253">
        <f t="shared" si="9"/>
        <v>0</v>
      </c>
      <c r="O10" s="253">
        <f t="shared" si="9"/>
        <v>0</v>
      </c>
      <c r="P10" s="253">
        <f t="shared" si="2"/>
        <v>0</v>
      </c>
      <c r="Q10" s="253">
        <f t="shared" si="9"/>
        <v>0</v>
      </c>
      <c r="R10" s="253">
        <f t="shared" si="9"/>
        <v>0</v>
      </c>
      <c r="S10" s="253">
        <f t="shared" si="3"/>
        <v>0</v>
      </c>
      <c r="T10" s="253">
        <f t="shared" si="9"/>
        <v>0</v>
      </c>
      <c r="U10" s="253">
        <f t="shared" si="9"/>
        <v>0</v>
      </c>
      <c r="V10" s="253">
        <f t="shared" si="4"/>
        <v>0</v>
      </c>
      <c r="W10" s="253">
        <f t="shared" si="9"/>
        <v>0</v>
      </c>
      <c r="X10" s="253">
        <f t="shared" si="9"/>
        <v>0</v>
      </c>
      <c r="Y10" s="253">
        <f t="shared" si="5"/>
        <v>0</v>
      </c>
      <c r="Z10" s="253">
        <f t="shared" si="9"/>
        <v>0</v>
      </c>
      <c r="AA10" s="253">
        <f t="shared" si="9"/>
        <v>0</v>
      </c>
      <c r="AB10" s="253">
        <f t="shared" si="6"/>
        <v>0</v>
      </c>
    </row>
    <row r="11" spans="1:189" s="251" customFormat="1" x14ac:dyDescent="0.25">
      <c r="A11" s="252" t="s">
        <v>13</v>
      </c>
      <c r="B11" s="255">
        <f t="shared" si="7"/>
        <v>33324</v>
      </c>
      <c r="C11" s="255">
        <f t="shared" si="7"/>
        <v>33324</v>
      </c>
      <c r="D11" s="255">
        <f t="shared" si="7"/>
        <v>0</v>
      </c>
      <c r="E11" s="255">
        <f>SUM(E12:E19)</f>
        <v>0</v>
      </c>
      <c r="F11" s="255">
        <f>SUM(F12:F19)</f>
        <v>0</v>
      </c>
      <c r="G11" s="255">
        <f t="shared" si="8"/>
        <v>0</v>
      </c>
      <c r="H11" s="255">
        <f>SUM(H12:H19)</f>
        <v>13020</v>
      </c>
      <c r="I11" s="255">
        <f>SUM(I12:I19)</f>
        <v>13020</v>
      </c>
      <c r="J11" s="255">
        <f t="shared" si="0"/>
        <v>0</v>
      </c>
      <c r="K11" s="255">
        <f>SUM(K12:K19)</f>
        <v>20304</v>
      </c>
      <c r="L11" s="255">
        <f>SUM(L12:L19)</f>
        <v>20304</v>
      </c>
      <c r="M11" s="255">
        <f t="shared" si="1"/>
        <v>0</v>
      </c>
      <c r="N11" s="255">
        <f>SUM(N12:N19)</f>
        <v>0</v>
      </c>
      <c r="O11" s="255">
        <f>SUM(O12:O19)</f>
        <v>0</v>
      </c>
      <c r="P11" s="255">
        <f t="shared" si="2"/>
        <v>0</v>
      </c>
      <c r="Q11" s="255">
        <f>SUM(Q12:Q19)</f>
        <v>0</v>
      </c>
      <c r="R11" s="255">
        <f>SUM(R12:R19)</f>
        <v>0</v>
      </c>
      <c r="S11" s="255">
        <f t="shared" si="3"/>
        <v>0</v>
      </c>
      <c r="T11" s="255">
        <f>SUM(T12:T19)</f>
        <v>0</v>
      </c>
      <c r="U11" s="255">
        <f>SUM(U12:U19)</f>
        <v>0</v>
      </c>
      <c r="V11" s="255">
        <f t="shared" si="4"/>
        <v>0</v>
      </c>
      <c r="W11" s="255">
        <f>SUM(W12:W19)</f>
        <v>0</v>
      </c>
      <c r="X11" s="255">
        <f>SUM(X12:X19)</f>
        <v>0</v>
      </c>
      <c r="Y11" s="255">
        <f t="shared" si="5"/>
        <v>0</v>
      </c>
      <c r="Z11" s="255">
        <f>SUM(Z12:Z19)</f>
        <v>0</v>
      </c>
      <c r="AA11" s="255">
        <f>SUM(AA12:AA19)</f>
        <v>0</v>
      </c>
      <c r="AB11" s="255">
        <f t="shared" si="6"/>
        <v>0</v>
      </c>
    </row>
    <row r="12" spans="1:189" s="254" customFormat="1" ht="47.25" x14ac:dyDescent="0.25">
      <c r="A12" s="256" t="s">
        <v>15</v>
      </c>
      <c r="B12" s="257">
        <f t="shared" si="7"/>
        <v>1290</v>
      </c>
      <c r="C12" s="257">
        <f t="shared" si="7"/>
        <v>1290</v>
      </c>
      <c r="D12" s="257">
        <f t="shared" si="7"/>
        <v>0</v>
      </c>
      <c r="E12" s="257"/>
      <c r="F12" s="257"/>
      <c r="G12" s="257">
        <f t="shared" si="8"/>
        <v>0</v>
      </c>
      <c r="H12" s="257"/>
      <c r="I12" s="257"/>
      <c r="J12" s="257">
        <f>I12-H12</f>
        <v>0</v>
      </c>
      <c r="K12" s="257">
        <v>1290</v>
      </c>
      <c r="L12" s="257">
        <v>1290</v>
      </c>
      <c r="M12" s="257">
        <f>L12-K12</f>
        <v>0</v>
      </c>
      <c r="N12" s="257"/>
      <c r="O12" s="257"/>
      <c r="P12" s="257">
        <f t="shared" si="2"/>
        <v>0</v>
      </c>
      <c r="Q12" s="257"/>
      <c r="R12" s="257"/>
      <c r="S12" s="257">
        <f t="shared" si="3"/>
        <v>0</v>
      </c>
      <c r="T12" s="257"/>
      <c r="U12" s="257"/>
      <c r="V12" s="257">
        <f t="shared" si="4"/>
        <v>0</v>
      </c>
      <c r="W12" s="257"/>
      <c r="X12" s="257"/>
      <c r="Y12" s="257">
        <f t="shared" si="5"/>
        <v>0</v>
      </c>
      <c r="Z12" s="257"/>
      <c r="AA12" s="257"/>
      <c r="AB12" s="257">
        <f t="shared" si="6"/>
        <v>0</v>
      </c>
    </row>
    <row r="13" spans="1:189" s="254" customFormat="1" ht="31.5" x14ac:dyDescent="0.25">
      <c r="A13" s="256" t="s">
        <v>406</v>
      </c>
      <c r="B13" s="257">
        <f t="shared" si="7"/>
        <v>2996</v>
      </c>
      <c r="C13" s="257">
        <f t="shared" si="7"/>
        <v>2996</v>
      </c>
      <c r="D13" s="257">
        <f t="shared" si="7"/>
        <v>0</v>
      </c>
      <c r="E13" s="257"/>
      <c r="F13" s="257"/>
      <c r="G13" s="257">
        <f t="shared" si="8"/>
        <v>0</v>
      </c>
      <c r="H13" s="257"/>
      <c r="I13" s="257"/>
      <c r="J13" s="257">
        <f t="shared" si="0"/>
        <v>0</v>
      </c>
      <c r="K13" s="257">
        <v>2996</v>
      </c>
      <c r="L13" s="257">
        <v>2996</v>
      </c>
      <c r="M13" s="257">
        <f t="shared" si="1"/>
        <v>0</v>
      </c>
      <c r="N13" s="257"/>
      <c r="O13" s="257"/>
      <c r="P13" s="257">
        <f t="shared" si="2"/>
        <v>0</v>
      </c>
      <c r="Q13" s="257"/>
      <c r="R13" s="257"/>
      <c r="S13" s="257">
        <f t="shared" si="3"/>
        <v>0</v>
      </c>
      <c r="T13" s="257"/>
      <c r="U13" s="257"/>
      <c r="V13" s="257">
        <f t="shared" si="4"/>
        <v>0</v>
      </c>
      <c r="W13" s="257"/>
      <c r="X13" s="257"/>
      <c r="Y13" s="257">
        <f t="shared" si="5"/>
        <v>0</v>
      </c>
      <c r="Z13" s="257"/>
      <c r="AA13" s="257"/>
      <c r="AB13" s="257">
        <f t="shared" si="6"/>
        <v>0</v>
      </c>
    </row>
    <row r="14" spans="1:189" s="254" customFormat="1" ht="31.5" x14ac:dyDescent="0.25">
      <c r="A14" s="256" t="s">
        <v>407</v>
      </c>
      <c r="B14" s="257">
        <f t="shared" si="7"/>
        <v>3845</v>
      </c>
      <c r="C14" s="257">
        <f t="shared" si="7"/>
        <v>3845</v>
      </c>
      <c r="D14" s="257">
        <f t="shared" si="7"/>
        <v>0</v>
      </c>
      <c r="E14" s="257"/>
      <c r="F14" s="257"/>
      <c r="G14" s="257">
        <f t="shared" si="8"/>
        <v>0</v>
      </c>
      <c r="H14" s="257"/>
      <c r="I14" s="257"/>
      <c r="J14" s="257">
        <f t="shared" si="0"/>
        <v>0</v>
      </c>
      <c r="K14" s="257">
        <v>3845</v>
      </c>
      <c r="L14" s="257">
        <v>3845</v>
      </c>
      <c r="M14" s="257">
        <f t="shared" si="1"/>
        <v>0</v>
      </c>
      <c r="N14" s="257"/>
      <c r="O14" s="257"/>
      <c r="P14" s="257">
        <f>O14-N14</f>
        <v>0</v>
      </c>
      <c r="Q14" s="257"/>
      <c r="R14" s="257"/>
      <c r="S14" s="257">
        <f t="shared" si="3"/>
        <v>0</v>
      </c>
      <c r="T14" s="257"/>
      <c r="U14" s="257"/>
      <c r="V14" s="257">
        <f t="shared" si="4"/>
        <v>0</v>
      </c>
      <c r="W14" s="257"/>
      <c r="X14" s="257"/>
      <c r="Y14" s="257">
        <f t="shared" si="5"/>
        <v>0</v>
      </c>
      <c r="Z14" s="257"/>
      <c r="AA14" s="257"/>
      <c r="AB14" s="257">
        <f t="shared" si="6"/>
        <v>0</v>
      </c>
    </row>
    <row r="15" spans="1:189" s="254" customFormat="1" ht="31.5" x14ac:dyDescent="0.25">
      <c r="A15" s="256" t="s">
        <v>408</v>
      </c>
      <c r="B15" s="257">
        <f t="shared" si="7"/>
        <v>2400</v>
      </c>
      <c r="C15" s="257">
        <f t="shared" si="7"/>
        <v>2400</v>
      </c>
      <c r="D15" s="257">
        <f t="shared" si="7"/>
        <v>0</v>
      </c>
      <c r="E15" s="257"/>
      <c r="F15" s="257"/>
      <c r="G15" s="257">
        <f t="shared" si="8"/>
        <v>0</v>
      </c>
      <c r="H15" s="257"/>
      <c r="I15" s="257"/>
      <c r="J15" s="257">
        <f t="shared" si="0"/>
        <v>0</v>
      </c>
      <c r="K15" s="257">
        <v>2400</v>
      </c>
      <c r="L15" s="257">
        <v>2400</v>
      </c>
      <c r="M15" s="257">
        <f t="shared" si="1"/>
        <v>0</v>
      </c>
      <c r="N15" s="257"/>
      <c r="O15" s="257"/>
      <c r="P15" s="257">
        <f t="shared" si="2"/>
        <v>0</v>
      </c>
      <c r="Q15" s="257"/>
      <c r="R15" s="257"/>
      <c r="S15" s="257">
        <f t="shared" si="3"/>
        <v>0</v>
      </c>
      <c r="T15" s="257"/>
      <c r="U15" s="257"/>
      <c r="V15" s="257">
        <f t="shared" si="4"/>
        <v>0</v>
      </c>
      <c r="W15" s="257"/>
      <c r="X15" s="257"/>
      <c r="Y15" s="257">
        <f t="shared" si="5"/>
        <v>0</v>
      </c>
      <c r="Z15" s="257"/>
      <c r="AA15" s="257"/>
      <c r="AB15" s="257">
        <f t="shared" si="6"/>
        <v>0</v>
      </c>
    </row>
    <row r="16" spans="1:189" s="254" customFormat="1" ht="31.5" x14ac:dyDescent="0.25">
      <c r="A16" s="256" t="s">
        <v>409</v>
      </c>
      <c r="B16" s="257">
        <f t="shared" si="7"/>
        <v>5000</v>
      </c>
      <c r="C16" s="257">
        <f t="shared" si="7"/>
        <v>5000</v>
      </c>
      <c r="D16" s="257">
        <f t="shared" si="7"/>
        <v>0</v>
      </c>
      <c r="E16" s="257"/>
      <c r="F16" s="257"/>
      <c r="G16" s="257">
        <f t="shared" si="8"/>
        <v>0</v>
      </c>
      <c r="H16" s="257"/>
      <c r="I16" s="257"/>
      <c r="J16" s="257">
        <f>I16-H16</f>
        <v>0</v>
      </c>
      <c r="K16" s="257">
        <v>5000</v>
      </c>
      <c r="L16" s="257">
        <v>5000</v>
      </c>
      <c r="M16" s="257">
        <f t="shared" si="1"/>
        <v>0</v>
      </c>
      <c r="N16" s="257"/>
      <c r="O16" s="257"/>
      <c r="P16" s="257">
        <f t="shared" si="2"/>
        <v>0</v>
      </c>
      <c r="Q16" s="257"/>
      <c r="R16" s="257"/>
      <c r="S16" s="257">
        <f t="shared" si="3"/>
        <v>0</v>
      </c>
      <c r="T16" s="257"/>
      <c r="U16" s="257"/>
      <c r="V16" s="257">
        <f t="shared" si="4"/>
        <v>0</v>
      </c>
      <c r="W16" s="257"/>
      <c r="X16" s="257"/>
      <c r="Y16" s="257">
        <f t="shared" si="5"/>
        <v>0</v>
      </c>
      <c r="Z16" s="257"/>
      <c r="AA16" s="257"/>
      <c r="AB16" s="257">
        <f t="shared" si="6"/>
        <v>0</v>
      </c>
    </row>
    <row r="17" spans="1:28" s="254" customFormat="1" ht="31.5" x14ac:dyDescent="0.25">
      <c r="A17" s="256" t="s">
        <v>410</v>
      </c>
      <c r="B17" s="257">
        <f t="shared" si="7"/>
        <v>2991</v>
      </c>
      <c r="C17" s="257">
        <f t="shared" si="7"/>
        <v>2991</v>
      </c>
      <c r="D17" s="257">
        <f t="shared" si="7"/>
        <v>0</v>
      </c>
      <c r="E17" s="257"/>
      <c r="F17" s="257"/>
      <c r="G17" s="257">
        <f t="shared" si="8"/>
        <v>0</v>
      </c>
      <c r="H17" s="257"/>
      <c r="I17" s="257"/>
      <c r="J17" s="257">
        <f t="shared" si="0"/>
        <v>0</v>
      </c>
      <c r="K17" s="257">
        <v>2991</v>
      </c>
      <c r="L17" s="257">
        <v>2991</v>
      </c>
      <c r="M17" s="257">
        <f t="shared" si="1"/>
        <v>0</v>
      </c>
      <c r="N17" s="257"/>
      <c r="O17" s="257"/>
      <c r="P17" s="257">
        <f t="shared" si="2"/>
        <v>0</v>
      </c>
      <c r="Q17" s="257"/>
      <c r="R17" s="257"/>
      <c r="S17" s="257">
        <f t="shared" si="3"/>
        <v>0</v>
      </c>
      <c r="T17" s="257"/>
      <c r="U17" s="257"/>
      <c r="V17" s="257">
        <f t="shared" si="4"/>
        <v>0</v>
      </c>
      <c r="W17" s="257"/>
      <c r="X17" s="257"/>
      <c r="Y17" s="257">
        <f t="shared" si="5"/>
        <v>0</v>
      </c>
      <c r="Z17" s="257"/>
      <c r="AA17" s="257"/>
      <c r="AB17" s="257">
        <f t="shared" si="6"/>
        <v>0</v>
      </c>
    </row>
    <row r="18" spans="1:28" s="254" customFormat="1" ht="47.25" x14ac:dyDescent="0.25">
      <c r="A18" s="256" t="s">
        <v>16</v>
      </c>
      <c r="B18" s="257">
        <f t="shared" si="7"/>
        <v>13020</v>
      </c>
      <c r="C18" s="257">
        <f t="shared" si="7"/>
        <v>13020</v>
      </c>
      <c r="D18" s="257">
        <f t="shared" si="7"/>
        <v>0</v>
      </c>
      <c r="E18" s="257"/>
      <c r="F18" s="257"/>
      <c r="G18" s="257">
        <f t="shared" si="8"/>
        <v>0</v>
      </c>
      <c r="H18" s="257">
        <f>6780+6240</f>
        <v>13020</v>
      </c>
      <c r="I18" s="257">
        <f>6780+6240</f>
        <v>13020</v>
      </c>
      <c r="J18" s="257">
        <f>I18-H18</f>
        <v>0</v>
      </c>
      <c r="K18" s="257"/>
      <c r="L18" s="257"/>
      <c r="M18" s="257">
        <f t="shared" si="1"/>
        <v>0</v>
      </c>
      <c r="N18" s="257"/>
      <c r="O18" s="257"/>
      <c r="P18" s="257">
        <f t="shared" si="2"/>
        <v>0</v>
      </c>
      <c r="Q18" s="257"/>
      <c r="R18" s="257"/>
      <c r="S18" s="257">
        <f t="shared" si="3"/>
        <v>0</v>
      </c>
      <c r="T18" s="257"/>
      <c r="U18" s="257"/>
      <c r="V18" s="257">
        <f t="shared" si="4"/>
        <v>0</v>
      </c>
      <c r="W18" s="257"/>
      <c r="X18" s="257"/>
      <c r="Y18" s="257">
        <f t="shared" si="5"/>
        <v>0</v>
      </c>
      <c r="Z18" s="257"/>
      <c r="AA18" s="257"/>
      <c r="AB18" s="257">
        <f t="shared" si="6"/>
        <v>0</v>
      </c>
    </row>
    <row r="19" spans="1:28" s="254" customFormat="1" ht="31.5" x14ac:dyDescent="0.25">
      <c r="A19" s="256" t="s">
        <v>17</v>
      </c>
      <c r="B19" s="257">
        <f t="shared" si="7"/>
        <v>1782</v>
      </c>
      <c r="C19" s="257">
        <f t="shared" si="7"/>
        <v>1782</v>
      </c>
      <c r="D19" s="257">
        <f t="shared" si="7"/>
        <v>0</v>
      </c>
      <c r="E19" s="257"/>
      <c r="F19" s="257"/>
      <c r="G19" s="257">
        <f t="shared" si="8"/>
        <v>0</v>
      </c>
      <c r="H19" s="257"/>
      <c r="I19" s="257"/>
      <c r="J19" s="257">
        <f t="shared" si="0"/>
        <v>0</v>
      </c>
      <c r="K19" s="257">
        <v>1782</v>
      </c>
      <c r="L19" s="257">
        <v>1782</v>
      </c>
      <c r="M19" s="257">
        <f t="shared" si="1"/>
        <v>0</v>
      </c>
      <c r="N19" s="257"/>
      <c r="O19" s="257"/>
      <c r="P19" s="257">
        <f t="shared" si="2"/>
        <v>0</v>
      </c>
      <c r="Q19" s="257"/>
      <c r="R19" s="257"/>
      <c r="S19" s="257">
        <f t="shared" si="3"/>
        <v>0</v>
      </c>
      <c r="T19" s="257"/>
      <c r="U19" s="257"/>
      <c r="V19" s="257">
        <f t="shared" si="4"/>
        <v>0</v>
      </c>
      <c r="W19" s="257"/>
      <c r="X19" s="257"/>
      <c r="Y19" s="257">
        <f t="shared" si="5"/>
        <v>0</v>
      </c>
      <c r="Z19" s="257"/>
      <c r="AA19" s="257"/>
      <c r="AB19" s="257">
        <f t="shared" si="6"/>
        <v>0</v>
      </c>
    </row>
    <row r="20" spans="1:28" s="251" customFormat="1" x14ac:dyDescent="0.25">
      <c r="A20" s="258" t="s">
        <v>18</v>
      </c>
      <c r="B20" s="255">
        <f t="shared" si="7"/>
        <v>1137369</v>
      </c>
      <c r="C20" s="255">
        <f t="shared" si="7"/>
        <v>1137369</v>
      </c>
      <c r="D20" s="255">
        <f t="shared" si="7"/>
        <v>0</v>
      </c>
      <c r="E20" s="255">
        <f t="shared" ref="E20:AA20" si="10">SUM(E21)</f>
        <v>117894</v>
      </c>
      <c r="F20" s="255">
        <f t="shared" si="10"/>
        <v>117894</v>
      </c>
      <c r="G20" s="255">
        <f t="shared" si="8"/>
        <v>0</v>
      </c>
      <c r="H20" s="255">
        <f t="shared" si="10"/>
        <v>0</v>
      </c>
      <c r="I20" s="255">
        <f t="shared" si="10"/>
        <v>0</v>
      </c>
      <c r="J20" s="255">
        <f t="shared" si="0"/>
        <v>0</v>
      </c>
      <c r="K20" s="255">
        <f t="shared" si="10"/>
        <v>151540</v>
      </c>
      <c r="L20" s="255">
        <f t="shared" si="10"/>
        <v>151540</v>
      </c>
      <c r="M20" s="255">
        <f t="shared" si="1"/>
        <v>0</v>
      </c>
      <c r="N20" s="255">
        <f t="shared" si="10"/>
        <v>0</v>
      </c>
      <c r="O20" s="255">
        <f t="shared" si="10"/>
        <v>0</v>
      </c>
      <c r="P20" s="255">
        <f t="shared" si="2"/>
        <v>0</v>
      </c>
      <c r="Q20" s="255">
        <f t="shared" si="10"/>
        <v>10000</v>
      </c>
      <c r="R20" s="255">
        <f t="shared" si="10"/>
        <v>10000</v>
      </c>
      <c r="S20" s="255">
        <f t="shared" si="3"/>
        <v>0</v>
      </c>
      <c r="T20" s="255">
        <f t="shared" si="10"/>
        <v>807624</v>
      </c>
      <c r="U20" s="255">
        <f t="shared" si="10"/>
        <v>807624</v>
      </c>
      <c r="V20" s="255">
        <f t="shared" si="4"/>
        <v>0</v>
      </c>
      <c r="W20" s="255">
        <f t="shared" si="10"/>
        <v>50311</v>
      </c>
      <c r="X20" s="255">
        <f t="shared" si="10"/>
        <v>50311</v>
      </c>
      <c r="Y20" s="255">
        <f t="shared" si="5"/>
        <v>0</v>
      </c>
      <c r="Z20" s="255">
        <f t="shared" si="10"/>
        <v>0</v>
      </c>
      <c r="AA20" s="255">
        <f t="shared" si="10"/>
        <v>0</v>
      </c>
      <c r="AB20" s="255">
        <f t="shared" si="6"/>
        <v>0</v>
      </c>
    </row>
    <row r="21" spans="1:28" s="251" customFormat="1" x14ac:dyDescent="0.25">
      <c r="A21" s="252" t="s">
        <v>13</v>
      </c>
      <c r="B21" s="255">
        <f t="shared" si="7"/>
        <v>1137369</v>
      </c>
      <c r="C21" s="255">
        <f t="shared" si="7"/>
        <v>1137369</v>
      </c>
      <c r="D21" s="255">
        <f t="shared" si="7"/>
        <v>0</v>
      </c>
      <c r="E21" s="255">
        <f>SUM(E22:E35)</f>
        <v>117894</v>
      </c>
      <c r="F21" s="255">
        <f>SUM(F22:F35)</f>
        <v>117894</v>
      </c>
      <c r="G21" s="255">
        <f t="shared" si="8"/>
        <v>0</v>
      </c>
      <c r="H21" s="255">
        <f t="shared" ref="H21" si="11">SUM(H22:H35)</f>
        <v>0</v>
      </c>
      <c r="I21" s="255">
        <f t="shared" ref="I21" si="12">SUM(I22:I35)</f>
        <v>0</v>
      </c>
      <c r="J21" s="255">
        <f t="shared" si="0"/>
        <v>0</v>
      </c>
      <c r="K21" s="255">
        <f t="shared" ref="K21" si="13">SUM(K22:K35)</f>
        <v>151540</v>
      </c>
      <c r="L21" s="255">
        <f t="shared" ref="L21" si="14">SUM(L22:L35)</f>
        <v>151540</v>
      </c>
      <c r="M21" s="255">
        <f t="shared" si="1"/>
        <v>0</v>
      </c>
      <c r="N21" s="255">
        <f t="shared" ref="N21" si="15">SUM(N22:N35)</f>
        <v>0</v>
      </c>
      <c r="O21" s="255">
        <f t="shared" ref="O21" si="16">SUM(O22:O35)</f>
        <v>0</v>
      </c>
      <c r="P21" s="255">
        <f t="shared" si="2"/>
        <v>0</v>
      </c>
      <c r="Q21" s="255">
        <f t="shared" ref="Q21" si="17">SUM(Q22:Q35)</f>
        <v>10000</v>
      </c>
      <c r="R21" s="255">
        <f t="shared" ref="R21" si="18">SUM(R22:R35)</f>
        <v>10000</v>
      </c>
      <c r="S21" s="255">
        <f t="shared" si="3"/>
        <v>0</v>
      </c>
      <c r="T21" s="255">
        <f t="shared" ref="T21" si="19">SUM(T22:T35)</f>
        <v>807624</v>
      </c>
      <c r="U21" s="255">
        <f t="shared" ref="U21" si="20">SUM(U22:U35)</f>
        <v>807624</v>
      </c>
      <c r="V21" s="255">
        <f t="shared" si="4"/>
        <v>0</v>
      </c>
      <c r="W21" s="255">
        <f t="shared" ref="W21:X21" si="21">SUM(W22:W35)</f>
        <v>50311</v>
      </c>
      <c r="X21" s="255">
        <f t="shared" si="21"/>
        <v>50311</v>
      </c>
      <c r="Y21" s="255">
        <f t="shared" si="5"/>
        <v>0</v>
      </c>
      <c r="Z21" s="255">
        <f t="shared" ref="Z21" si="22">SUM(Z22:Z35)</f>
        <v>0</v>
      </c>
      <c r="AA21" s="255">
        <f t="shared" ref="AA21" si="23">SUM(AA22:AA35)</f>
        <v>0</v>
      </c>
      <c r="AB21" s="255">
        <f t="shared" si="6"/>
        <v>0</v>
      </c>
    </row>
    <row r="22" spans="1:28" s="254" customFormat="1" x14ac:dyDescent="0.25">
      <c r="A22" s="259" t="s">
        <v>19</v>
      </c>
      <c r="B22" s="260">
        <f t="shared" si="7"/>
        <v>110000</v>
      </c>
      <c r="C22" s="260">
        <f t="shared" si="7"/>
        <v>110000</v>
      </c>
      <c r="D22" s="260">
        <f t="shared" si="7"/>
        <v>0</v>
      </c>
      <c r="E22" s="260">
        <f>110000-110000</f>
        <v>0</v>
      </c>
      <c r="F22" s="260">
        <f>110000-110000</f>
        <v>0</v>
      </c>
      <c r="G22" s="260">
        <f t="shared" si="8"/>
        <v>0</v>
      </c>
      <c r="H22" s="260"/>
      <c r="I22" s="260"/>
      <c r="J22" s="260">
        <f t="shared" si="0"/>
        <v>0</v>
      </c>
      <c r="K22" s="260">
        <v>110000</v>
      </c>
      <c r="L22" s="260">
        <v>110000</v>
      </c>
      <c r="M22" s="260">
        <f t="shared" si="1"/>
        <v>0</v>
      </c>
      <c r="N22" s="260"/>
      <c r="O22" s="260"/>
      <c r="P22" s="260">
        <f t="shared" si="2"/>
        <v>0</v>
      </c>
      <c r="Q22" s="260"/>
      <c r="R22" s="260"/>
      <c r="S22" s="260">
        <f t="shared" si="3"/>
        <v>0</v>
      </c>
      <c r="T22" s="260"/>
      <c r="U22" s="260"/>
      <c r="V22" s="260">
        <f t="shared" si="4"/>
        <v>0</v>
      </c>
      <c r="W22" s="260"/>
      <c r="X22" s="260"/>
      <c r="Y22" s="260">
        <f t="shared" si="5"/>
        <v>0</v>
      </c>
      <c r="Z22" s="260"/>
      <c r="AA22" s="260"/>
      <c r="AB22" s="260">
        <f t="shared" si="6"/>
        <v>0</v>
      </c>
    </row>
    <row r="23" spans="1:28" s="254" customFormat="1" x14ac:dyDescent="0.25">
      <c r="A23" s="259" t="s">
        <v>20</v>
      </c>
      <c r="B23" s="260">
        <f t="shared" si="7"/>
        <v>10000</v>
      </c>
      <c r="C23" s="260">
        <f t="shared" si="7"/>
        <v>10000</v>
      </c>
      <c r="D23" s="260">
        <f t="shared" si="7"/>
        <v>0</v>
      </c>
      <c r="E23" s="260"/>
      <c r="F23" s="260"/>
      <c r="G23" s="260">
        <f t="shared" si="8"/>
        <v>0</v>
      </c>
      <c r="H23" s="260"/>
      <c r="I23" s="260"/>
      <c r="J23" s="260">
        <f t="shared" si="0"/>
        <v>0</v>
      </c>
      <c r="K23" s="260"/>
      <c r="L23" s="260"/>
      <c r="M23" s="260">
        <f t="shared" si="1"/>
        <v>0</v>
      </c>
      <c r="N23" s="260"/>
      <c r="O23" s="260"/>
      <c r="P23" s="260">
        <f t="shared" si="2"/>
        <v>0</v>
      </c>
      <c r="Q23" s="260">
        <v>10000</v>
      </c>
      <c r="R23" s="260">
        <v>10000</v>
      </c>
      <c r="S23" s="260">
        <f t="shared" si="3"/>
        <v>0</v>
      </c>
      <c r="T23" s="260"/>
      <c r="U23" s="260"/>
      <c r="V23" s="260">
        <f t="shared" si="4"/>
        <v>0</v>
      </c>
      <c r="W23" s="260"/>
      <c r="X23" s="260"/>
      <c r="Y23" s="260">
        <f t="shared" si="5"/>
        <v>0</v>
      </c>
      <c r="Z23" s="260">
        <v>0</v>
      </c>
      <c r="AA23" s="260">
        <v>0</v>
      </c>
      <c r="AB23" s="260">
        <f t="shared" si="6"/>
        <v>0</v>
      </c>
    </row>
    <row r="24" spans="1:28" s="254" customFormat="1" ht="31.5" x14ac:dyDescent="0.25">
      <c r="A24" s="259" t="s">
        <v>466</v>
      </c>
      <c r="B24" s="260">
        <f t="shared" si="7"/>
        <v>40000</v>
      </c>
      <c r="C24" s="260">
        <f t="shared" si="7"/>
        <v>40000</v>
      </c>
      <c r="D24" s="260">
        <f t="shared" si="7"/>
        <v>0</v>
      </c>
      <c r="E24" s="260"/>
      <c r="F24" s="260"/>
      <c r="G24" s="260">
        <f t="shared" si="8"/>
        <v>0</v>
      </c>
      <c r="H24" s="260"/>
      <c r="I24" s="260"/>
      <c r="J24" s="260">
        <f t="shared" si="0"/>
        <v>0</v>
      </c>
      <c r="K24" s="260">
        <v>40000</v>
      </c>
      <c r="L24" s="260">
        <v>40000</v>
      </c>
      <c r="M24" s="260">
        <f t="shared" si="1"/>
        <v>0</v>
      </c>
      <c r="N24" s="260"/>
      <c r="O24" s="260"/>
      <c r="P24" s="260">
        <f t="shared" si="2"/>
        <v>0</v>
      </c>
      <c r="Q24" s="260"/>
      <c r="R24" s="260"/>
      <c r="S24" s="260">
        <f t="shared" si="3"/>
        <v>0</v>
      </c>
      <c r="T24" s="260"/>
      <c r="U24" s="260"/>
      <c r="V24" s="260">
        <f t="shared" si="4"/>
        <v>0</v>
      </c>
      <c r="W24" s="260"/>
      <c r="X24" s="260"/>
      <c r="Y24" s="260">
        <f t="shared" si="5"/>
        <v>0</v>
      </c>
      <c r="Z24" s="260">
        <v>0</v>
      </c>
      <c r="AA24" s="260">
        <v>0</v>
      </c>
      <c r="AB24" s="260">
        <f t="shared" si="6"/>
        <v>0</v>
      </c>
    </row>
    <row r="25" spans="1:28" s="254" customFormat="1" ht="31.5" x14ac:dyDescent="0.25">
      <c r="A25" s="261" t="s">
        <v>21</v>
      </c>
      <c r="B25" s="260">
        <f t="shared" si="7"/>
        <v>29003</v>
      </c>
      <c r="C25" s="260">
        <f t="shared" si="7"/>
        <v>29003</v>
      </c>
      <c r="D25" s="260">
        <f t="shared" si="7"/>
        <v>0</v>
      </c>
      <c r="E25" s="260"/>
      <c r="F25" s="260"/>
      <c r="G25" s="260">
        <f t="shared" si="8"/>
        <v>0</v>
      </c>
      <c r="H25" s="260"/>
      <c r="I25" s="260"/>
      <c r="J25" s="260">
        <f t="shared" si="0"/>
        <v>0</v>
      </c>
      <c r="K25" s="260"/>
      <c r="L25" s="260"/>
      <c r="M25" s="260">
        <f t="shared" si="1"/>
        <v>0</v>
      </c>
      <c r="N25" s="260"/>
      <c r="O25" s="260"/>
      <c r="P25" s="260">
        <f t="shared" si="2"/>
        <v>0</v>
      </c>
      <c r="Q25" s="260"/>
      <c r="R25" s="260"/>
      <c r="S25" s="260">
        <f t="shared" si="3"/>
        <v>0</v>
      </c>
      <c r="T25" s="260">
        <v>29003</v>
      </c>
      <c r="U25" s="260">
        <v>29003</v>
      </c>
      <c r="V25" s="260">
        <f t="shared" si="4"/>
        <v>0</v>
      </c>
      <c r="W25" s="260"/>
      <c r="X25" s="260"/>
      <c r="Y25" s="260">
        <f t="shared" si="5"/>
        <v>0</v>
      </c>
      <c r="Z25" s="260"/>
      <c r="AA25" s="260"/>
      <c r="AB25" s="260">
        <f t="shared" si="6"/>
        <v>0</v>
      </c>
    </row>
    <row r="26" spans="1:28" s="254" customFormat="1" ht="78.75" x14ac:dyDescent="0.25">
      <c r="A26" s="261" t="s">
        <v>22</v>
      </c>
      <c r="B26" s="260">
        <f t="shared" si="7"/>
        <v>71877</v>
      </c>
      <c r="C26" s="260">
        <f t="shared" si="7"/>
        <v>71877</v>
      </c>
      <c r="D26" s="260">
        <f t="shared" si="7"/>
        <v>0</v>
      </c>
      <c r="E26" s="260"/>
      <c r="F26" s="260"/>
      <c r="G26" s="260">
        <f t="shared" si="8"/>
        <v>0</v>
      </c>
      <c r="H26" s="260"/>
      <c r="I26" s="260"/>
      <c r="J26" s="260">
        <f t="shared" si="0"/>
        <v>0</v>
      </c>
      <c r="K26" s="260"/>
      <c r="L26" s="260"/>
      <c r="M26" s="260">
        <f t="shared" si="1"/>
        <v>0</v>
      </c>
      <c r="N26" s="260"/>
      <c r="O26" s="260"/>
      <c r="P26" s="260">
        <f t="shared" si="2"/>
        <v>0</v>
      </c>
      <c r="Q26" s="260"/>
      <c r="R26" s="260"/>
      <c r="S26" s="260">
        <f t="shared" si="3"/>
        <v>0</v>
      </c>
      <c r="T26" s="260">
        <v>71877</v>
      </c>
      <c r="U26" s="260">
        <v>71877</v>
      </c>
      <c r="V26" s="260">
        <f t="shared" si="4"/>
        <v>0</v>
      </c>
      <c r="W26" s="260"/>
      <c r="X26" s="260"/>
      <c r="Y26" s="260">
        <f t="shared" si="5"/>
        <v>0</v>
      </c>
      <c r="Z26" s="260"/>
      <c r="AA26" s="260"/>
      <c r="AB26" s="260">
        <f t="shared" si="6"/>
        <v>0</v>
      </c>
    </row>
    <row r="27" spans="1:28" s="254" customFormat="1" ht="47.25" x14ac:dyDescent="0.25">
      <c r="A27" s="261" t="s">
        <v>23</v>
      </c>
      <c r="B27" s="260">
        <f t="shared" si="7"/>
        <v>230400</v>
      </c>
      <c r="C27" s="260">
        <f t="shared" si="7"/>
        <v>230400</v>
      </c>
      <c r="D27" s="260">
        <f t="shared" si="7"/>
        <v>0</v>
      </c>
      <c r="E27" s="260"/>
      <c r="F27" s="260"/>
      <c r="G27" s="260">
        <f t="shared" si="8"/>
        <v>0</v>
      </c>
      <c r="H27" s="260"/>
      <c r="I27" s="260"/>
      <c r="J27" s="260">
        <f t="shared" si="0"/>
        <v>0</v>
      </c>
      <c r="K27" s="260"/>
      <c r="L27" s="260"/>
      <c r="M27" s="260">
        <f t="shared" si="1"/>
        <v>0</v>
      </c>
      <c r="N27" s="260"/>
      <c r="O27" s="260"/>
      <c r="P27" s="260">
        <f t="shared" si="2"/>
        <v>0</v>
      </c>
      <c r="Q27" s="260"/>
      <c r="R27" s="260"/>
      <c r="S27" s="260">
        <f t="shared" si="3"/>
        <v>0</v>
      </c>
      <c r="T27" s="260">
        <v>230400</v>
      </c>
      <c r="U27" s="260">
        <v>230400</v>
      </c>
      <c r="V27" s="260">
        <f t="shared" si="4"/>
        <v>0</v>
      </c>
      <c r="W27" s="260"/>
      <c r="X27" s="260"/>
      <c r="Y27" s="260">
        <f t="shared" si="5"/>
        <v>0</v>
      </c>
      <c r="Z27" s="260"/>
      <c r="AA27" s="260"/>
      <c r="AB27" s="260">
        <f t="shared" si="6"/>
        <v>0</v>
      </c>
    </row>
    <row r="28" spans="1:28" s="254" customFormat="1" ht="47.25" x14ac:dyDescent="0.25">
      <c r="A28" s="261" t="s">
        <v>24</v>
      </c>
      <c r="B28" s="260">
        <f t="shared" si="7"/>
        <v>1645</v>
      </c>
      <c r="C28" s="260">
        <f t="shared" si="7"/>
        <v>1645</v>
      </c>
      <c r="D28" s="260">
        <f t="shared" si="7"/>
        <v>0</v>
      </c>
      <c r="E28" s="260"/>
      <c r="F28" s="260"/>
      <c r="G28" s="260">
        <f t="shared" si="8"/>
        <v>0</v>
      </c>
      <c r="H28" s="260"/>
      <c r="I28" s="260"/>
      <c r="J28" s="260">
        <f t="shared" si="0"/>
        <v>0</v>
      </c>
      <c r="K28" s="260"/>
      <c r="L28" s="260"/>
      <c r="M28" s="260">
        <f t="shared" si="1"/>
        <v>0</v>
      </c>
      <c r="N28" s="260"/>
      <c r="O28" s="260"/>
      <c r="P28" s="260">
        <f t="shared" si="2"/>
        <v>0</v>
      </c>
      <c r="Q28" s="260"/>
      <c r="R28" s="260"/>
      <c r="S28" s="260">
        <f t="shared" si="3"/>
        <v>0</v>
      </c>
      <c r="T28" s="260">
        <v>1645</v>
      </c>
      <c r="U28" s="260">
        <v>1645</v>
      </c>
      <c r="V28" s="260">
        <f t="shared" si="4"/>
        <v>0</v>
      </c>
      <c r="W28" s="260"/>
      <c r="X28" s="260"/>
      <c r="Y28" s="260">
        <f t="shared" si="5"/>
        <v>0</v>
      </c>
      <c r="Z28" s="260"/>
      <c r="AA28" s="260"/>
      <c r="AB28" s="260">
        <f t="shared" si="6"/>
        <v>0</v>
      </c>
    </row>
    <row r="29" spans="1:28" s="254" customFormat="1" ht="31.5" x14ac:dyDescent="0.25">
      <c r="A29" s="261" t="s">
        <v>25</v>
      </c>
      <c r="B29" s="260">
        <f t="shared" si="7"/>
        <v>149277</v>
      </c>
      <c r="C29" s="260">
        <f t="shared" si="7"/>
        <v>149277</v>
      </c>
      <c r="D29" s="260">
        <f t="shared" si="7"/>
        <v>0</v>
      </c>
      <c r="E29" s="260">
        <v>67894</v>
      </c>
      <c r="F29" s="260">
        <v>67894</v>
      </c>
      <c r="G29" s="260">
        <f t="shared" si="8"/>
        <v>0</v>
      </c>
      <c r="H29" s="260"/>
      <c r="I29" s="260"/>
      <c r="J29" s="260">
        <f t="shared" si="0"/>
        <v>0</v>
      </c>
      <c r="K29" s="260"/>
      <c r="L29" s="260"/>
      <c r="M29" s="260">
        <f t="shared" si="1"/>
        <v>0</v>
      </c>
      <c r="N29" s="260"/>
      <c r="O29" s="260"/>
      <c r="P29" s="260">
        <f t="shared" si="2"/>
        <v>0</v>
      </c>
      <c r="Q29" s="260"/>
      <c r="R29" s="260"/>
      <c r="S29" s="260">
        <f t="shared" si="3"/>
        <v>0</v>
      </c>
      <c r="T29" s="260">
        <v>81383</v>
      </c>
      <c r="U29" s="260">
        <v>81383</v>
      </c>
      <c r="V29" s="260">
        <f t="shared" si="4"/>
        <v>0</v>
      </c>
      <c r="W29" s="260"/>
      <c r="X29" s="260"/>
      <c r="Y29" s="260">
        <f t="shared" si="5"/>
        <v>0</v>
      </c>
      <c r="Z29" s="260"/>
      <c r="AA29" s="260"/>
      <c r="AB29" s="260">
        <f t="shared" si="6"/>
        <v>0</v>
      </c>
    </row>
    <row r="30" spans="1:28" s="254" customFormat="1" ht="78.75" x14ac:dyDescent="0.25">
      <c r="A30" s="261" t="s">
        <v>26</v>
      </c>
      <c r="B30" s="260">
        <f t="shared" si="7"/>
        <v>15796</v>
      </c>
      <c r="C30" s="260">
        <f t="shared" si="7"/>
        <v>15796</v>
      </c>
      <c r="D30" s="260">
        <f t="shared" si="7"/>
        <v>0</v>
      </c>
      <c r="E30" s="260"/>
      <c r="F30" s="260"/>
      <c r="G30" s="260">
        <f t="shared" si="8"/>
        <v>0</v>
      </c>
      <c r="H30" s="260"/>
      <c r="I30" s="260"/>
      <c r="J30" s="260">
        <f t="shared" si="0"/>
        <v>0</v>
      </c>
      <c r="K30" s="260"/>
      <c r="L30" s="260"/>
      <c r="M30" s="260">
        <f t="shared" si="1"/>
        <v>0</v>
      </c>
      <c r="N30" s="260"/>
      <c r="O30" s="260"/>
      <c r="P30" s="260">
        <f t="shared" si="2"/>
        <v>0</v>
      </c>
      <c r="Q30" s="260"/>
      <c r="R30" s="260"/>
      <c r="S30" s="260">
        <f t="shared" si="3"/>
        <v>0</v>
      </c>
      <c r="T30" s="260">
        <v>15796</v>
      </c>
      <c r="U30" s="260">
        <v>15796</v>
      </c>
      <c r="V30" s="260">
        <f t="shared" si="4"/>
        <v>0</v>
      </c>
      <c r="W30" s="260"/>
      <c r="X30" s="260"/>
      <c r="Y30" s="260">
        <f t="shared" si="5"/>
        <v>0</v>
      </c>
      <c r="Z30" s="260"/>
      <c r="AA30" s="260"/>
      <c r="AB30" s="260">
        <f t="shared" si="6"/>
        <v>0</v>
      </c>
    </row>
    <row r="31" spans="1:28" s="254" customFormat="1" ht="78.75" x14ac:dyDescent="0.25">
      <c r="A31" s="259" t="s">
        <v>27</v>
      </c>
      <c r="B31" s="257">
        <f t="shared" si="7"/>
        <v>9866</v>
      </c>
      <c r="C31" s="257">
        <f t="shared" si="7"/>
        <v>9866</v>
      </c>
      <c r="D31" s="257">
        <f t="shared" si="7"/>
        <v>0</v>
      </c>
      <c r="E31" s="257"/>
      <c r="F31" s="257"/>
      <c r="G31" s="257">
        <f t="shared" si="8"/>
        <v>0</v>
      </c>
      <c r="H31" s="257"/>
      <c r="I31" s="257"/>
      <c r="J31" s="257">
        <f t="shared" si="0"/>
        <v>0</v>
      </c>
      <c r="K31" s="257"/>
      <c r="L31" s="257"/>
      <c r="M31" s="257">
        <f t="shared" si="1"/>
        <v>0</v>
      </c>
      <c r="N31" s="257"/>
      <c r="O31" s="257"/>
      <c r="P31" s="257">
        <f t="shared" si="2"/>
        <v>0</v>
      </c>
      <c r="Q31" s="257"/>
      <c r="R31" s="257"/>
      <c r="S31" s="257">
        <f t="shared" si="3"/>
        <v>0</v>
      </c>
      <c r="T31" s="257">
        <f>1876+7990</f>
        <v>9866</v>
      </c>
      <c r="U31" s="257">
        <f>1876+7990</f>
        <v>9866</v>
      </c>
      <c r="V31" s="257">
        <f t="shared" si="4"/>
        <v>0</v>
      </c>
      <c r="W31" s="257"/>
      <c r="X31" s="257"/>
      <c r="Y31" s="257">
        <f t="shared" si="5"/>
        <v>0</v>
      </c>
      <c r="Z31" s="257"/>
      <c r="AA31" s="257"/>
      <c r="AB31" s="257">
        <f t="shared" si="6"/>
        <v>0</v>
      </c>
    </row>
    <row r="32" spans="1:28" s="254" customFormat="1" ht="94.5" x14ac:dyDescent="0.25">
      <c r="A32" s="261" t="s">
        <v>28</v>
      </c>
      <c r="B32" s="260">
        <f t="shared" si="7"/>
        <v>122493</v>
      </c>
      <c r="C32" s="260">
        <f t="shared" si="7"/>
        <v>122493</v>
      </c>
      <c r="D32" s="260">
        <f t="shared" si="7"/>
        <v>0</v>
      </c>
      <c r="E32" s="260">
        <f>50000</f>
        <v>50000</v>
      </c>
      <c r="F32" s="260">
        <f>50000</f>
        <v>50000</v>
      </c>
      <c r="G32" s="260">
        <f t="shared" si="8"/>
        <v>0</v>
      </c>
      <c r="H32" s="260"/>
      <c r="I32" s="260"/>
      <c r="J32" s="260">
        <f t="shared" si="0"/>
        <v>0</v>
      </c>
      <c r="K32" s="260"/>
      <c r="L32" s="260"/>
      <c r="M32" s="260">
        <f t="shared" si="1"/>
        <v>0</v>
      </c>
      <c r="N32" s="260"/>
      <c r="O32" s="260"/>
      <c r="P32" s="260">
        <f t="shared" si="2"/>
        <v>0</v>
      </c>
      <c r="Q32" s="260"/>
      <c r="R32" s="260"/>
      <c r="S32" s="260">
        <f t="shared" si="3"/>
        <v>0</v>
      </c>
      <c r="T32" s="260">
        <v>72493</v>
      </c>
      <c r="U32" s="260">
        <v>72493</v>
      </c>
      <c r="V32" s="260">
        <f t="shared" si="4"/>
        <v>0</v>
      </c>
      <c r="W32" s="260"/>
      <c r="X32" s="260"/>
      <c r="Y32" s="260">
        <f t="shared" si="5"/>
        <v>0</v>
      </c>
      <c r="Z32" s="260"/>
      <c r="AA32" s="260"/>
      <c r="AB32" s="260">
        <f t="shared" si="6"/>
        <v>0</v>
      </c>
    </row>
    <row r="33" spans="1:189" s="254" customFormat="1" ht="94.5" x14ac:dyDescent="0.25">
      <c r="A33" s="259" t="s">
        <v>29</v>
      </c>
      <c r="B33" s="257">
        <f t="shared" si="7"/>
        <v>187653</v>
      </c>
      <c r="C33" s="257">
        <f t="shared" si="7"/>
        <v>187653</v>
      </c>
      <c r="D33" s="257">
        <f t="shared" si="7"/>
        <v>0</v>
      </c>
      <c r="E33" s="257"/>
      <c r="F33" s="257"/>
      <c r="G33" s="257">
        <f t="shared" si="8"/>
        <v>0</v>
      </c>
      <c r="H33" s="257"/>
      <c r="I33" s="257"/>
      <c r="J33" s="257">
        <f t="shared" si="0"/>
        <v>0</v>
      </c>
      <c r="K33" s="257"/>
      <c r="L33" s="257"/>
      <c r="M33" s="257">
        <f t="shared" si="1"/>
        <v>0</v>
      </c>
      <c r="N33" s="257"/>
      <c r="O33" s="257"/>
      <c r="P33" s="257">
        <f t="shared" si="2"/>
        <v>0</v>
      </c>
      <c r="Q33" s="257"/>
      <c r="R33" s="257"/>
      <c r="S33" s="257">
        <f t="shared" si="3"/>
        <v>0</v>
      </c>
      <c r="T33" s="257">
        <f>187653</f>
        <v>187653</v>
      </c>
      <c r="U33" s="257">
        <f>187653</f>
        <v>187653</v>
      </c>
      <c r="V33" s="257">
        <f t="shared" si="4"/>
        <v>0</v>
      </c>
      <c r="W33" s="257"/>
      <c r="X33" s="257"/>
      <c r="Y33" s="257">
        <f t="shared" si="5"/>
        <v>0</v>
      </c>
      <c r="Z33" s="257"/>
      <c r="AA33" s="257"/>
      <c r="AB33" s="257">
        <f t="shared" si="6"/>
        <v>0</v>
      </c>
    </row>
    <row r="34" spans="1:189" s="254" customFormat="1" ht="47.25" x14ac:dyDescent="0.25">
      <c r="A34" s="259" t="s">
        <v>30</v>
      </c>
      <c r="B34" s="257">
        <f t="shared" si="7"/>
        <v>58737</v>
      </c>
      <c r="C34" s="257">
        <f t="shared" si="7"/>
        <v>58737</v>
      </c>
      <c r="D34" s="257">
        <f t="shared" si="7"/>
        <v>0</v>
      </c>
      <c r="E34" s="257"/>
      <c r="F34" s="257"/>
      <c r="G34" s="257">
        <f t="shared" si="8"/>
        <v>0</v>
      </c>
      <c r="H34" s="257"/>
      <c r="I34" s="257"/>
      <c r="J34" s="257">
        <f t="shared" si="0"/>
        <v>0</v>
      </c>
      <c r="K34" s="257">
        <v>1540</v>
      </c>
      <c r="L34" s="257">
        <v>1540</v>
      </c>
      <c r="M34" s="257">
        <f t="shared" si="1"/>
        <v>0</v>
      </c>
      <c r="N34" s="257"/>
      <c r="O34" s="257"/>
      <c r="P34" s="257">
        <f t="shared" si="2"/>
        <v>0</v>
      </c>
      <c r="Q34" s="257"/>
      <c r="R34" s="257"/>
      <c r="S34" s="257">
        <f t="shared" si="3"/>
        <v>0</v>
      </c>
      <c r="T34" s="257">
        <v>57197</v>
      </c>
      <c r="U34" s="257">
        <v>57197</v>
      </c>
      <c r="V34" s="257">
        <f t="shared" si="4"/>
        <v>0</v>
      </c>
      <c r="W34" s="257"/>
      <c r="X34" s="257"/>
      <c r="Y34" s="257">
        <f t="shared" si="5"/>
        <v>0</v>
      </c>
      <c r="Z34" s="257"/>
      <c r="AA34" s="257"/>
      <c r="AB34" s="257">
        <f t="shared" si="6"/>
        <v>0</v>
      </c>
    </row>
    <row r="35" spans="1:189" s="254" customFormat="1" ht="47.25" x14ac:dyDescent="0.25">
      <c r="A35" s="259" t="s">
        <v>499</v>
      </c>
      <c r="B35" s="257">
        <f t="shared" si="7"/>
        <v>100622</v>
      </c>
      <c r="C35" s="257">
        <f t="shared" si="7"/>
        <v>100622</v>
      </c>
      <c r="D35" s="257">
        <f t="shared" si="7"/>
        <v>0</v>
      </c>
      <c r="E35" s="257"/>
      <c r="F35" s="257"/>
      <c r="G35" s="257">
        <f t="shared" si="8"/>
        <v>0</v>
      </c>
      <c r="H35" s="257"/>
      <c r="I35" s="257"/>
      <c r="J35" s="257">
        <f t="shared" si="0"/>
        <v>0</v>
      </c>
      <c r="K35" s="257"/>
      <c r="L35" s="257"/>
      <c r="M35" s="257">
        <f t="shared" si="1"/>
        <v>0</v>
      </c>
      <c r="N35" s="257"/>
      <c r="O35" s="257"/>
      <c r="P35" s="257">
        <f t="shared" si="2"/>
        <v>0</v>
      </c>
      <c r="Q35" s="257"/>
      <c r="R35" s="257"/>
      <c r="S35" s="257">
        <f t="shared" si="3"/>
        <v>0</v>
      </c>
      <c r="T35" s="257">
        <v>50311</v>
      </c>
      <c r="U35" s="257">
        <v>50311</v>
      </c>
      <c r="V35" s="257">
        <f t="shared" si="4"/>
        <v>0</v>
      </c>
      <c r="W35" s="257">
        <v>50311</v>
      </c>
      <c r="X35" s="257">
        <v>50311</v>
      </c>
      <c r="Y35" s="257">
        <f t="shared" si="5"/>
        <v>0</v>
      </c>
      <c r="Z35" s="257">
        <f>50312-50312</f>
        <v>0</v>
      </c>
      <c r="AA35" s="257">
        <f>50312-50312</f>
        <v>0</v>
      </c>
      <c r="AB35" s="257">
        <f t="shared" si="6"/>
        <v>0</v>
      </c>
    </row>
    <row r="36" spans="1:189" s="254" customFormat="1" x14ac:dyDescent="0.25">
      <c r="A36" s="252" t="s">
        <v>31</v>
      </c>
      <c r="B36" s="253">
        <f t="shared" si="7"/>
        <v>2053543</v>
      </c>
      <c r="C36" s="253">
        <f t="shared" si="7"/>
        <v>2111127</v>
      </c>
      <c r="D36" s="253">
        <f t="shared" si="7"/>
        <v>57584</v>
      </c>
      <c r="E36" s="253">
        <f t="shared" ref="E36:AA36" si="24">SUM(E37)</f>
        <v>122832</v>
      </c>
      <c r="F36" s="253">
        <f t="shared" si="24"/>
        <v>256654</v>
      </c>
      <c r="G36" s="253">
        <f t="shared" si="8"/>
        <v>133822</v>
      </c>
      <c r="H36" s="253">
        <f t="shared" si="24"/>
        <v>0</v>
      </c>
      <c r="I36" s="253">
        <f t="shared" si="24"/>
        <v>0</v>
      </c>
      <c r="J36" s="253">
        <f t="shared" si="0"/>
        <v>0</v>
      </c>
      <c r="K36" s="253">
        <f t="shared" si="24"/>
        <v>208911</v>
      </c>
      <c r="L36" s="253">
        <f t="shared" si="24"/>
        <v>132673</v>
      </c>
      <c r="M36" s="253">
        <f t="shared" si="1"/>
        <v>-76238</v>
      </c>
      <c r="N36" s="253">
        <f t="shared" si="24"/>
        <v>0</v>
      </c>
      <c r="O36" s="253">
        <f t="shared" si="24"/>
        <v>0</v>
      </c>
      <c r="P36" s="253">
        <f t="shared" si="2"/>
        <v>0</v>
      </c>
      <c r="Q36" s="253">
        <f t="shared" si="24"/>
        <v>256000</v>
      </c>
      <c r="R36" s="253">
        <f t="shared" si="24"/>
        <v>256000</v>
      </c>
      <c r="S36" s="253">
        <f t="shared" si="3"/>
        <v>0</v>
      </c>
      <c r="T36" s="253">
        <f t="shared" si="24"/>
        <v>0</v>
      </c>
      <c r="U36" s="253">
        <f t="shared" si="24"/>
        <v>0</v>
      </c>
      <c r="V36" s="253">
        <f t="shared" si="4"/>
        <v>0</v>
      </c>
      <c r="W36" s="253">
        <f t="shared" si="24"/>
        <v>0</v>
      </c>
      <c r="X36" s="253">
        <f t="shared" si="24"/>
        <v>0</v>
      </c>
      <c r="Y36" s="253">
        <f t="shared" si="5"/>
        <v>0</v>
      </c>
      <c r="Z36" s="253">
        <f t="shared" si="24"/>
        <v>1465800</v>
      </c>
      <c r="AA36" s="253">
        <f t="shared" si="24"/>
        <v>1465800</v>
      </c>
      <c r="AB36" s="253">
        <f t="shared" si="6"/>
        <v>0</v>
      </c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251"/>
      <c r="DX36" s="251"/>
      <c r="DY36" s="251"/>
      <c r="DZ36" s="251"/>
      <c r="EA36" s="251"/>
      <c r="EB36" s="251"/>
      <c r="EC36" s="251"/>
      <c r="ED36" s="251"/>
      <c r="EE36" s="251"/>
      <c r="EF36" s="251"/>
      <c r="EG36" s="251"/>
      <c r="EH36" s="251"/>
      <c r="EI36" s="251"/>
      <c r="EJ36" s="251"/>
      <c r="EK36" s="251"/>
      <c r="EL36" s="251"/>
      <c r="EM36" s="251"/>
      <c r="EN36" s="251"/>
      <c r="EO36" s="251"/>
      <c r="EP36" s="251"/>
      <c r="EQ36" s="251"/>
      <c r="ER36" s="251"/>
      <c r="ES36" s="251"/>
      <c r="ET36" s="251"/>
      <c r="EU36" s="251"/>
      <c r="EV36" s="251"/>
      <c r="EW36" s="251"/>
      <c r="EX36" s="251"/>
      <c r="EY36" s="251"/>
      <c r="EZ36" s="251"/>
      <c r="FA36" s="251"/>
      <c r="FB36" s="251"/>
      <c r="FC36" s="251"/>
      <c r="FD36" s="251"/>
      <c r="FE36" s="251"/>
      <c r="FF36" s="251"/>
      <c r="FG36" s="251"/>
      <c r="FH36" s="251"/>
      <c r="FI36" s="251"/>
      <c r="FJ36" s="251"/>
      <c r="FK36" s="251"/>
      <c r="FL36" s="251"/>
      <c r="FM36" s="251"/>
      <c r="FN36" s="251"/>
      <c r="FO36" s="251"/>
      <c r="FP36" s="251"/>
      <c r="FQ36" s="251"/>
      <c r="FR36" s="251"/>
      <c r="FS36" s="251"/>
      <c r="FT36" s="251"/>
      <c r="FU36" s="251"/>
      <c r="FV36" s="251"/>
      <c r="FW36" s="251"/>
      <c r="FX36" s="251"/>
      <c r="FY36" s="251"/>
      <c r="FZ36" s="251"/>
      <c r="GA36" s="251"/>
      <c r="GB36" s="251"/>
      <c r="GC36" s="251"/>
      <c r="GD36" s="251"/>
      <c r="GE36" s="251"/>
      <c r="GF36" s="251"/>
      <c r="GG36" s="251"/>
    </row>
    <row r="37" spans="1:189" s="254" customFormat="1" x14ac:dyDescent="0.25">
      <c r="A37" s="252" t="s">
        <v>13</v>
      </c>
      <c r="B37" s="253">
        <f t="shared" si="7"/>
        <v>2053543</v>
      </c>
      <c r="C37" s="253">
        <f t="shared" si="7"/>
        <v>2111127</v>
      </c>
      <c r="D37" s="253">
        <f t="shared" si="7"/>
        <v>57584</v>
      </c>
      <c r="E37" s="253">
        <f>SUM(E38:E46)</f>
        <v>122832</v>
      </c>
      <c r="F37" s="253">
        <f>SUM(F38:F46)</f>
        <v>256654</v>
      </c>
      <c r="G37" s="253">
        <f t="shared" si="8"/>
        <v>133822</v>
      </c>
      <c r="H37" s="253">
        <f t="shared" ref="H37" si="25">SUM(H38:H46)</f>
        <v>0</v>
      </c>
      <c r="I37" s="253">
        <f t="shared" ref="I37" si="26">SUM(I38:I46)</f>
        <v>0</v>
      </c>
      <c r="J37" s="253">
        <f t="shared" si="0"/>
        <v>0</v>
      </c>
      <c r="K37" s="253">
        <f t="shared" ref="K37" si="27">SUM(K38:K46)</f>
        <v>208911</v>
      </c>
      <c r="L37" s="253">
        <f t="shared" ref="L37" si="28">SUM(L38:L46)</f>
        <v>132673</v>
      </c>
      <c r="M37" s="253">
        <f t="shared" si="1"/>
        <v>-76238</v>
      </c>
      <c r="N37" s="253">
        <f t="shared" ref="N37" si="29">SUM(N38:N46)</f>
        <v>0</v>
      </c>
      <c r="O37" s="253">
        <f t="shared" ref="O37" si="30">SUM(O38:O46)</f>
        <v>0</v>
      </c>
      <c r="P37" s="253">
        <f t="shared" si="2"/>
        <v>0</v>
      </c>
      <c r="Q37" s="253">
        <f t="shared" ref="Q37" si="31">SUM(Q38:Q46)</f>
        <v>256000</v>
      </c>
      <c r="R37" s="253">
        <f t="shared" ref="R37" si="32">SUM(R38:R46)</f>
        <v>256000</v>
      </c>
      <c r="S37" s="253">
        <f t="shared" si="3"/>
        <v>0</v>
      </c>
      <c r="T37" s="253">
        <f t="shared" ref="T37" si="33">SUM(T38:T46)</f>
        <v>0</v>
      </c>
      <c r="U37" s="253">
        <f t="shared" ref="U37" si="34">SUM(U38:U46)</f>
        <v>0</v>
      </c>
      <c r="V37" s="253">
        <f t="shared" si="4"/>
        <v>0</v>
      </c>
      <c r="W37" s="253">
        <f t="shared" ref="W37:X37" si="35">SUM(W38:W46)</f>
        <v>0</v>
      </c>
      <c r="X37" s="253">
        <f t="shared" si="35"/>
        <v>0</v>
      </c>
      <c r="Y37" s="253">
        <f t="shared" si="5"/>
        <v>0</v>
      </c>
      <c r="Z37" s="253">
        <f t="shared" ref="Z37" si="36">SUM(Z38:Z46)</f>
        <v>1465800</v>
      </c>
      <c r="AA37" s="253">
        <f t="shared" ref="AA37" si="37">SUM(AA38:AA46)</f>
        <v>1465800</v>
      </c>
      <c r="AB37" s="253">
        <f t="shared" si="6"/>
        <v>0</v>
      </c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251"/>
      <c r="DZ37" s="251"/>
      <c r="EA37" s="251"/>
      <c r="EB37" s="251"/>
      <c r="EC37" s="251"/>
      <c r="ED37" s="251"/>
      <c r="EE37" s="251"/>
      <c r="EF37" s="251"/>
      <c r="EG37" s="251"/>
      <c r="EH37" s="251"/>
      <c r="EI37" s="251"/>
      <c r="EJ37" s="251"/>
      <c r="EK37" s="251"/>
      <c r="EL37" s="251"/>
      <c r="EM37" s="251"/>
      <c r="EN37" s="251"/>
      <c r="EO37" s="251"/>
      <c r="EP37" s="251"/>
      <c r="EQ37" s="251"/>
      <c r="ER37" s="251"/>
      <c r="ES37" s="251"/>
      <c r="ET37" s="251"/>
      <c r="EU37" s="251"/>
      <c r="EV37" s="251"/>
      <c r="EW37" s="251"/>
      <c r="EX37" s="251"/>
      <c r="EY37" s="251"/>
      <c r="EZ37" s="251"/>
      <c r="FA37" s="251"/>
      <c r="FB37" s="251"/>
      <c r="FC37" s="251"/>
      <c r="FD37" s="251"/>
      <c r="FE37" s="251"/>
      <c r="FF37" s="251"/>
      <c r="FG37" s="251"/>
      <c r="FH37" s="251"/>
      <c r="FI37" s="251"/>
      <c r="FJ37" s="251"/>
      <c r="FK37" s="251"/>
      <c r="FL37" s="251"/>
      <c r="FM37" s="251"/>
      <c r="FN37" s="251"/>
      <c r="FO37" s="251"/>
      <c r="FP37" s="251"/>
      <c r="FQ37" s="251"/>
      <c r="FR37" s="251"/>
      <c r="FS37" s="251"/>
      <c r="FT37" s="251"/>
      <c r="FU37" s="251"/>
      <c r="FV37" s="251"/>
      <c r="FW37" s="251"/>
      <c r="FX37" s="251"/>
      <c r="FY37" s="251"/>
      <c r="FZ37" s="251"/>
      <c r="GA37" s="251"/>
      <c r="GB37" s="251"/>
      <c r="GC37" s="251"/>
      <c r="GD37" s="251"/>
      <c r="GE37" s="251"/>
      <c r="GF37" s="251"/>
      <c r="GG37" s="251"/>
    </row>
    <row r="38" spans="1:189" s="254" customFormat="1" ht="31.5" x14ac:dyDescent="0.25">
      <c r="A38" s="262" t="s">
        <v>32</v>
      </c>
      <c r="B38" s="260">
        <f t="shared" si="7"/>
        <v>1365800</v>
      </c>
      <c r="C38" s="260">
        <f t="shared" si="7"/>
        <v>1365800</v>
      </c>
      <c r="D38" s="260">
        <f t="shared" si="7"/>
        <v>0</v>
      </c>
      <c r="E38" s="260">
        <v>0</v>
      </c>
      <c r="F38" s="260">
        <v>0</v>
      </c>
      <c r="G38" s="260">
        <f t="shared" si="8"/>
        <v>0</v>
      </c>
      <c r="H38" s="260">
        <v>0</v>
      </c>
      <c r="I38" s="260">
        <v>0</v>
      </c>
      <c r="J38" s="260">
        <f t="shared" si="0"/>
        <v>0</v>
      </c>
      <c r="K38" s="260"/>
      <c r="L38" s="260"/>
      <c r="M38" s="260">
        <f t="shared" si="1"/>
        <v>0</v>
      </c>
      <c r="N38" s="260">
        <v>0</v>
      </c>
      <c r="O38" s="260">
        <v>0</v>
      </c>
      <c r="P38" s="260">
        <f t="shared" si="2"/>
        <v>0</v>
      </c>
      <c r="Q38" s="260"/>
      <c r="R38" s="260"/>
      <c r="S38" s="260">
        <f t="shared" si="3"/>
        <v>0</v>
      </c>
      <c r="T38" s="260"/>
      <c r="U38" s="260"/>
      <c r="V38" s="260">
        <f t="shared" si="4"/>
        <v>0</v>
      </c>
      <c r="W38" s="260"/>
      <c r="X38" s="260"/>
      <c r="Y38" s="260">
        <f t="shared" si="5"/>
        <v>0</v>
      </c>
      <c r="Z38" s="260">
        <v>1365800</v>
      </c>
      <c r="AA38" s="260">
        <v>1365800</v>
      </c>
      <c r="AB38" s="260">
        <f t="shared" si="6"/>
        <v>0</v>
      </c>
    </row>
    <row r="39" spans="1:189" s="254" customFormat="1" ht="31.5" x14ac:dyDescent="0.25">
      <c r="A39" s="262" t="s">
        <v>33</v>
      </c>
      <c r="B39" s="260">
        <f t="shared" si="7"/>
        <v>100000</v>
      </c>
      <c r="C39" s="260">
        <f t="shared" si="7"/>
        <v>100000</v>
      </c>
      <c r="D39" s="260">
        <f t="shared" si="7"/>
        <v>0</v>
      </c>
      <c r="E39" s="260"/>
      <c r="F39" s="260"/>
      <c r="G39" s="260">
        <f t="shared" si="8"/>
        <v>0</v>
      </c>
      <c r="H39" s="260"/>
      <c r="I39" s="260"/>
      <c r="J39" s="260">
        <f t="shared" si="0"/>
        <v>0</v>
      </c>
      <c r="K39" s="260"/>
      <c r="L39" s="260"/>
      <c r="M39" s="260">
        <f t="shared" si="1"/>
        <v>0</v>
      </c>
      <c r="N39" s="260"/>
      <c r="O39" s="260"/>
      <c r="P39" s="260">
        <f t="shared" si="2"/>
        <v>0</v>
      </c>
      <c r="Q39" s="260"/>
      <c r="R39" s="260"/>
      <c r="S39" s="260">
        <f t="shared" si="3"/>
        <v>0</v>
      </c>
      <c r="T39" s="260"/>
      <c r="U39" s="260"/>
      <c r="V39" s="260">
        <f t="shared" si="4"/>
        <v>0</v>
      </c>
      <c r="W39" s="260"/>
      <c r="X39" s="260"/>
      <c r="Y39" s="260">
        <f t="shared" si="5"/>
        <v>0</v>
      </c>
      <c r="Z39" s="260">
        <v>100000</v>
      </c>
      <c r="AA39" s="260">
        <v>100000</v>
      </c>
      <c r="AB39" s="260">
        <f t="shared" si="6"/>
        <v>0</v>
      </c>
    </row>
    <row r="40" spans="1:189" s="254" customFormat="1" ht="78.75" x14ac:dyDescent="0.25">
      <c r="A40" s="262" t="s">
        <v>477</v>
      </c>
      <c r="B40" s="260">
        <f t="shared" si="7"/>
        <v>22720</v>
      </c>
      <c r="C40" s="260">
        <f t="shared" si="7"/>
        <v>22720</v>
      </c>
      <c r="D40" s="260">
        <f t="shared" si="7"/>
        <v>0</v>
      </c>
      <c r="E40" s="260"/>
      <c r="F40" s="260"/>
      <c r="G40" s="260">
        <f t="shared" si="8"/>
        <v>0</v>
      </c>
      <c r="H40" s="260"/>
      <c r="I40" s="260"/>
      <c r="J40" s="260">
        <f t="shared" si="0"/>
        <v>0</v>
      </c>
      <c r="K40" s="260">
        <f>4446+10074+5900+2000+300</f>
        <v>22720</v>
      </c>
      <c r="L40" s="260">
        <f>4446+10074+5900+2000+300</f>
        <v>22720</v>
      </c>
      <c r="M40" s="260">
        <f t="shared" si="1"/>
        <v>0</v>
      </c>
      <c r="N40" s="260"/>
      <c r="O40" s="260"/>
      <c r="P40" s="260">
        <f t="shared" si="2"/>
        <v>0</v>
      </c>
      <c r="Q40" s="260"/>
      <c r="R40" s="260"/>
      <c r="S40" s="260">
        <f t="shared" si="3"/>
        <v>0</v>
      </c>
      <c r="T40" s="260"/>
      <c r="U40" s="260"/>
      <c r="V40" s="260">
        <f t="shared" si="4"/>
        <v>0</v>
      </c>
      <c r="W40" s="260"/>
      <c r="X40" s="260"/>
      <c r="Y40" s="260">
        <f t="shared" si="5"/>
        <v>0</v>
      </c>
      <c r="Z40" s="260"/>
      <c r="AA40" s="260"/>
      <c r="AB40" s="260">
        <f t="shared" si="6"/>
        <v>0</v>
      </c>
    </row>
    <row r="41" spans="1:189" s="254" customFormat="1" ht="31.5" x14ac:dyDescent="0.25">
      <c r="A41" s="262" t="s">
        <v>231</v>
      </c>
      <c r="B41" s="260">
        <f t="shared" si="7"/>
        <v>187173</v>
      </c>
      <c r="C41" s="260">
        <f t="shared" si="7"/>
        <v>176654</v>
      </c>
      <c r="D41" s="260">
        <f t="shared" si="7"/>
        <v>-10519</v>
      </c>
      <c r="E41" s="260">
        <f>42832</f>
        <v>42832</v>
      </c>
      <c r="F41" s="260">
        <f>42832+133822</f>
        <v>176654</v>
      </c>
      <c r="G41" s="260">
        <f t="shared" si="8"/>
        <v>133822</v>
      </c>
      <c r="H41" s="260"/>
      <c r="I41" s="260"/>
      <c r="J41" s="260">
        <f t="shared" si="0"/>
        <v>0</v>
      </c>
      <c r="K41" s="260">
        <f>187173-42832</f>
        <v>144341</v>
      </c>
      <c r="L41" s="260">
        <f>187173-42832-144341</f>
        <v>0</v>
      </c>
      <c r="M41" s="260">
        <f t="shared" si="1"/>
        <v>-144341</v>
      </c>
      <c r="N41" s="260"/>
      <c r="O41" s="260"/>
      <c r="P41" s="260">
        <f t="shared" si="2"/>
        <v>0</v>
      </c>
      <c r="Q41" s="260"/>
      <c r="R41" s="260"/>
      <c r="S41" s="260">
        <f t="shared" si="3"/>
        <v>0</v>
      </c>
      <c r="T41" s="260"/>
      <c r="U41" s="260"/>
      <c r="V41" s="260">
        <f t="shared" si="4"/>
        <v>0</v>
      </c>
      <c r="W41" s="260"/>
      <c r="X41" s="260"/>
      <c r="Y41" s="260">
        <f t="shared" si="5"/>
        <v>0</v>
      </c>
      <c r="Z41" s="260"/>
      <c r="AA41" s="260"/>
      <c r="AB41" s="260">
        <f t="shared" si="6"/>
        <v>0</v>
      </c>
    </row>
    <row r="42" spans="1:189" s="254" customFormat="1" ht="47.25" x14ac:dyDescent="0.25">
      <c r="A42" s="262" t="s">
        <v>251</v>
      </c>
      <c r="B42" s="260">
        <f t="shared" si="7"/>
        <v>116000</v>
      </c>
      <c r="C42" s="260">
        <f t="shared" si="7"/>
        <v>116000</v>
      </c>
      <c r="D42" s="260">
        <f t="shared" si="7"/>
        <v>0</v>
      </c>
      <c r="E42" s="260"/>
      <c r="F42" s="260"/>
      <c r="G42" s="260">
        <f t="shared" si="8"/>
        <v>0</v>
      </c>
      <c r="H42" s="260"/>
      <c r="I42" s="260"/>
      <c r="J42" s="260">
        <f t="shared" si="0"/>
        <v>0</v>
      </c>
      <c r="K42" s="260"/>
      <c r="L42" s="260"/>
      <c r="M42" s="260">
        <f t="shared" si="1"/>
        <v>0</v>
      </c>
      <c r="N42" s="260"/>
      <c r="O42" s="260"/>
      <c r="P42" s="260">
        <f t="shared" si="2"/>
        <v>0</v>
      </c>
      <c r="Q42" s="260">
        <v>116000</v>
      </c>
      <c r="R42" s="260">
        <v>116000</v>
      </c>
      <c r="S42" s="260">
        <f t="shared" si="3"/>
        <v>0</v>
      </c>
      <c r="T42" s="260"/>
      <c r="U42" s="260"/>
      <c r="V42" s="260">
        <f t="shared" si="4"/>
        <v>0</v>
      </c>
      <c r="W42" s="260"/>
      <c r="X42" s="260"/>
      <c r="Y42" s="260">
        <f t="shared" si="5"/>
        <v>0</v>
      </c>
      <c r="Z42" s="260"/>
      <c r="AA42" s="260"/>
      <c r="AB42" s="260">
        <f t="shared" si="6"/>
        <v>0</v>
      </c>
    </row>
    <row r="43" spans="1:189" s="254" customFormat="1" ht="47.25" x14ac:dyDescent="0.25">
      <c r="A43" s="262" t="s">
        <v>476</v>
      </c>
      <c r="B43" s="260">
        <f t="shared" si="7"/>
        <v>37850</v>
      </c>
      <c r="C43" s="260">
        <f t="shared" si="7"/>
        <v>105953</v>
      </c>
      <c r="D43" s="260">
        <f t="shared" si="7"/>
        <v>68103</v>
      </c>
      <c r="E43" s="260">
        <v>0</v>
      </c>
      <c r="F43" s="260">
        <v>0</v>
      </c>
      <c r="G43" s="260">
        <f t="shared" si="8"/>
        <v>0</v>
      </c>
      <c r="H43" s="260">
        <v>0</v>
      </c>
      <c r="I43" s="260">
        <v>0</v>
      </c>
      <c r="J43" s="260">
        <f t="shared" si="0"/>
        <v>0</v>
      </c>
      <c r="K43" s="260">
        <v>37850</v>
      </c>
      <c r="L43" s="260">
        <f>37850+68103</f>
        <v>105953</v>
      </c>
      <c r="M43" s="260">
        <f t="shared" si="1"/>
        <v>68103</v>
      </c>
      <c r="N43" s="260">
        <v>0</v>
      </c>
      <c r="O43" s="260">
        <v>0</v>
      </c>
      <c r="P43" s="260">
        <f t="shared" si="2"/>
        <v>0</v>
      </c>
      <c r="Q43" s="260"/>
      <c r="R43" s="260"/>
      <c r="S43" s="260">
        <f t="shared" si="3"/>
        <v>0</v>
      </c>
      <c r="T43" s="260"/>
      <c r="U43" s="260"/>
      <c r="V43" s="260">
        <f t="shared" si="4"/>
        <v>0</v>
      </c>
      <c r="W43" s="260"/>
      <c r="X43" s="260"/>
      <c r="Y43" s="260">
        <f t="shared" si="5"/>
        <v>0</v>
      </c>
      <c r="Z43" s="260"/>
      <c r="AA43" s="260"/>
      <c r="AB43" s="260">
        <f t="shared" si="6"/>
        <v>0</v>
      </c>
    </row>
    <row r="44" spans="1:189" s="254" customFormat="1" ht="31.5" x14ac:dyDescent="0.25">
      <c r="A44" s="262" t="s">
        <v>34</v>
      </c>
      <c r="B44" s="260">
        <f t="shared" si="7"/>
        <v>64000</v>
      </c>
      <c r="C44" s="260">
        <f t="shared" si="7"/>
        <v>64000</v>
      </c>
      <c r="D44" s="260">
        <f t="shared" si="7"/>
        <v>0</v>
      </c>
      <c r="E44" s="260">
        <v>60000</v>
      </c>
      <c r="F44" s="260">
        <v>60000</v>
      </c>
      <c r="G44" s="260">
        <f t="shared" si="8"/>
        <v>0</v>
      </c>
      <c r="H44" s="260"/>
      <c r="I44" s="260"/>
      <c r="J44" s="260">
        <f t="shared" si="0"/>
        <v>0</v>
      </c>
      <c r="K44" s="260">
        <v>4000</v>
      </c>
      <c r="L44" s="260">
        <v>4000</v>
      </c>
      <c r="M44" s="260">
        <f t="shared" si="1"/>
        <v>0</v>
      </c>
      <c r="N44" s="260"/>
      <c r="O44" s="260"/>
      <c r="P44" s="260">
        <f t="shared" si="2"/>
        <v>0</v>
      </c>
      <c r="Q44" s="260"/>
      <c r="R44" s="260"/>
      <c r="S44" s="260">
        <f t="shared" si="3"/>
        <v>0</v>
      </c>
      <c r="T44" s="260"/>
      <c r="U44" s="260"/>
      <c r="V44" s="260">
        <f t="shared" si="4"/>
        <v>0</v>
      </c>
      <c r="W44" s="260"/>
      <c r="X44" s="260"/>
      <c r="Y44" s="260">
        <f t="shared" si="5"/>
        <v>0</v>
      </c>
      <c r="Z44" s="260"/>
      <c r="AA44" s="260"/>
      <c r="AB44" s="260">
        <f t="shared" si="6"/>
        <v>0</v>
      </c>
    </row>
    <row r="45" spans="1:189" s="254" customFormat="1" ht="31.5" x14ac:dyDescent="0.25">
      <c r="A45" s="262" t="s">
        <v>35</v>
      </c>
      <c r="B45" s="260">
        <f t="shared" si="7"/>
        <v>140000</v>
      </c>
      <c r="C45" s="260">
        <f t="shared" si="7"/>
        <v>140000</v>
      </c>
      <c r="D45" s="260">
        <f t="shared" si="7"/>
        <v>0</v>
      </c>
      <c r="E45" s="260">
        <f>140000-140000</f>
        <v>0</v>
      </c>
      <c r="F45" s="260">
        <f>140000-140000</f>
        <v>0</v>
      </c>
      <c r="G45" s="260">
        <f t="shared" si="8"/>
        <v>0</v>
      </c>
      <c r="H45" s="260"/>
      <c r="I45" s="260"/>
      <c r="J45" s="260">
        <f t="shared" si="0"/>
        <v>0</v>
      </c>
      <c r="K45" s="260"/>
      <c r="L45" s="260"/>
      <c r="M45" s="260">
        <f t="shared" si="1"/>
        <v>0</v>
      </c>
      <c r="N45" s="260"/>
      <c r="O45" s="260"/>
      <c r="P45" s="260">
        <f t="shared" si="2"/>
        <v>0</v>
      </c>
      <c r="Q45" s="260">
        <v>140000</v>
      </c>
      <c r="R45" s="260">
        <v>140000</v>
      </c>
      <c r="S45" s="260">
        <f t="shared" si="3"/>
        <v>0</v>
      </c>
      <c r="T45" s="260"/>
      <c r="U45" s="260"/>
      <c r="V45" s="260">
        <f t="shared" si="4"/>
        <v>0</v>
      </c>
      <c r="W45" s="260"/>
      <c r="X45" s="260"/>
      <c r="Y45" s="260">
        <f t="shared" si="5"/>
        <v>0</v>
      </c>
      <c r="Z45" s="260"/>
      <c r="AA45" s="260"/>
      <c r="AB45" s="260">
        <f t="shared" si="6"/>
        <v>0</v>
      </c>
    </row>
    <row r="46" spans="1:189" s="254" customFormat="1" ht="31.5" x14ac:dyDescent="0.25">
      <c r="A46" s="262" t="s">
        <v>36</v>
      </c>
      <c r="B46" s="260">
        <f t="shared" si="7"/>
        <v>20000</v>
      </c>
      <c r="C46" s="260">
        <f t="shared" si="7"/>
        <v>20000</v>
      </c>
      <c r="D46" s="260">
        <f t="shared" si="7"/>
        <v>0</v>
      </c>
      <c r="E46" s="260">
        <v>20000</v>
      </c>
      <c r="F46" s="260">
        <v>20000</v>
      </c>
      <c r="G46" s="260">
        <f t="shared" si="8"/>
        <v>0</v>
      </c>
      <c r="H46" s="260"/>
      <c r="I46" s="260"/>
      <c r="J46" s="260">
        <f t="shared" si="0"/>
        <v>0</v>
      </c>
      <c r="K46" s="260"/>
      <c r="L46" s="260"/>
      <c r="M46" s="260">
        <f t="shared" si="1"/>
        <v>0</v>
      </c>
      <c r="N46" s="260"/>
      <c r="O46" s="260"/>
      <c r="P46" s="260">
        <f t="shared" si="2"/>
        <v>0</v>
      </c>
      <c r="Q46" s="260"/>
      <c r="R46" s="260"/>
      <c r="S46" s="260">
        <f t="shared" si="3"/>
        <v>0</v>
      </c>
      <c r="T46" s="260"/>
      <c r="U46" s="260"/>
      <c r="V46" s="260">
        <f t="shared" si="4"/>
        <v>0</v>
      </c>
      <c r="W46" s="260"/>
      <c r="X46" s="260"/>
      <c r="Y46" s="260">
        <f t="shared" si="5"/>
        <v>0</v>
      </c>
      <c r="Z46" s="260"/>
      <c r="AA46" s="260"/>
      <c r="AB46" s="260">
        <f t="shared" si="6"/>
        <v>0</v>
      </c>
    </row>
    <row r="47" spans="1:189" s="254" customFormat="1" x14ac:dyDescent="0.25">
      <c r="A47" s="252" t="s">
        <v>37</v>
      </c>
      <c r="B47" s="253">
        <f t="shared" si="7"/>
        <v>471669</v>
      </c>
      <c r="C47" s="253">
        <f t="shared" si="7"/>
        <v>471669</v>
      </c>
      <c r="D47" s="253">
        <f t="shared" si="7"/>
        <v>0</v>
      </c>
      <c r="E47" s="253">
        <f t="shared" ref="E47:AA47" si="38">SUM(E48)</f>
        <v>0</v>
      </c>
      <c r="F47" s="253">
        <f t="shared" si="38"/>
        <v>0</v>
      </c>
      <c r="G47" s="253">
        <f t="shared" si="8"/>
        <v>0</v>
      </c>
      <c r="H47" s="253">
        <f t="shared" si="38"/>
        <v>0</v>
      </c>
      <c r="I47" s="253">
        <f t="shared" si="38"/>
        <v>0</v>
      </c>
      <c r="J47" s="253">
        <f t="shared" si="0"/>
        <v>0</v>
      </c>
      <c r="K47" s="253">
        <f t="shared" si="38"/>
        <v>0</v>
      </c>
      <c r="L47" s="253">
        <f t="shared" si="38"/>
        <v>0</v>
      </c>
      <c r="M47" s="253">
        <f t="shared" si="1"/>
        <v>0</v>
      </c>
      <c r="N47" s="253">
        <f t="shared" si="38"/>
        <v>0</v>
      </c>
      <c r="O47" s="253">
        <f t="shared" si="38"/>
        <v>0</v>
      </c>
      <c r="P47" s="253">
        <f t="shared" si="2"/>
        <v>0</v>
      </c>
      <c r="Q47" s="253">
        <f t="shared" si="38"/>
        <v>201669</v>
      </c>
      <c r="R47" s="253">
        <f t="shared" si="38"/>
        <v>201669</v>
      </c>
      <c r="S47" s="253">
        <f t="shared" si="3"/>
        <v>0</v>
      </c>
      <c r="T47" s="253">
        <f t="shared" si="38"/>
        <v>0</v>
      </c>
      <c r="U47" s="253">
        <f t="shared" si="38"/>
        <v>0</v>
      </c>
      <c r="V47" s="253">
        <f t="shared" si="4"/>
        <v>0</v>
      </c>
      <c r="W47" s="253">
        <f t="shared" si="38"/>
        <v>0</v>
      </c>
      <c r="X47" s="253">
        <f t="shared" si="38"/>
        <v>0</v>
      </c>
      <c r="Y47" s="253">
        <f t="shared" si="5"/>
        <v>0</v>
      </c>
      <c r="Z47" s="253">
        <f t="shared" si="38"/>
        <v>270000</v>
      </c>
      <c r="AA47" s="253">
        <f t="shared" si="38"/>
        <v>270000</v>
      </c>
      <c r="AB47" s="253">
        <f t="shared" si="6"/>
        <v>0</v>
      </c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1"/>
      <c r="BR47" s="251"/>
      <c r="BS47" s="251"/>
      <c r="BT47" s="251"/>
      <c r="BU47" s="251"/>
      <c r="BV47" s="251"/>
      <c r="BW47" s="251"/>
      <c r="BX47" s="251"/>
      <c r="BY47" s="251"/>
      <c r="BZ47" s="251"/>
      <c r="CA47" s="251"/>
      <c r="CB47" s="251"/>
      <c r="CC47" s="251"/>
      <c r="CD47" s="251"/>
      <c r="CE47" s="251"/>
      <c r="CF47" s="251"/>
      <c r="CG47" s="251"/>
      <c r="CH47" s="251"/>
      <c r="CI47" s="251"/>
      <c r="CJ47" s="251"/>
      <c r="CK47" s="251"/>
      <c r="CL47" s="251"/>
      <c r="CM47" s="251"/>
      <c r="CN47" s="251"/>
      <c r="CO47" s="251"/>
      <c r="CP47" s="251"/>
      <c r="CQ47" s="251"/>
      <c r="CR47" s="251"/>
      <c r="CS47" s="251"/>
      <c r="CT47" s="251"/>
      <c r="CU47" s="251"/>
      <c r="CV47" s="251"/>
      <c r="CW47" s="251"/>
      <c r="CX47" s="251"/>
      <c r="CY47" s="251"/>
      <c r="CZ47" s="251"/>
      <c r="DA47" s="251"/>
      <c r="DB47" s="251"/>
      <c r="DC47" s="251"/>
      <c r="DD47" s="251"/>
      <c r="DE47" s="251"/>
      <c r="DF47" s="251"/>
      <c r="DG47" s="251"/>
      <c r="DH47" s="251"/>
      <c r="DI47" s="251"/>
      <c r="DJ47" s="251"/>
      <c r="DK47" s="251"/>
      <c r="DL47" s="251"/>
      <c r="DM47" s="251"/>
      <c r="DN47" s="251"/>
      <c r="DO47" s="251"/>
      <c r="DP47" s="251"/>
      <c r="DQ47" s="251"/>
      <c r="DR47" s="251"/>
      <c r="DS47" s="251"/>
      <c r="DT47" s="251"/>
      <c r="DU47" s="251"/>
      <c r="DV47" s="251"/>
      <c r="DW47" s="251"/>
      <c r="DX47" s="251"/>
      <c r="DY47" s="251"/>
      <c r="DZ47" s="251"/>
      <c r="EA47" s="251"/>
      <c r="EB47" s="251"/>
      <c r="EC47" s="251"/>
      <c r="ED47" s="251"/>
      <c r="EE47" s="251"/>
      <c r="EF47" s="251"/>
      <c r="EG47" s="251"/>
      <c r="EH47" s="251"/>
      <c r="EI47" s="251"/>
      <c r="EJ47" s="251"/>
      <c r="EK47" s="251"/>
      <c r="EL47" s="251"/>
      <c r="EM47" s="251"/>
      <c r="EN47" s="251"/>
      <c r="EO47" s="251"/>
      <c r="EP47" s="251"/>
      <c r="EQ47" s="251"/>
      <c r="ER47" s="251"/>
      <c r="ES47" s="251"/>
      <c r="ET47" s="251"/>
      <c r="EU47" s="251"/>
      <c r="EV47" s="251"/>
      <c r="EW47" s="251"/>
      <c r="EX47" s="251"/>
      <c r="EY47" s="251"/>
      <c r="EZ47" s="251"/>
      <c r="FA47" s="251"/>
      <c r="FB47" s="251"/>
      <c r="FC47" s="251"/>
      <c r="FD47" s="251"/>
      <c r="FE47" s="251"/>
      <c r="FF47" s="251"/>
      <c r="FG47" s="251"/>
      <c r="FH47" s="251"/>
      <c r="FI47" s="251"/>
      <c r="FJ47" s="251"/>
      <c r="FK47" s="251"/>
      <c r="FL47" s="251"/>
      <c r="FM47" s="251"/>
      <c r="FN47" s="251"/>
      <c r="FO47" s="251"/>
      <c r="FP47" s="251"/>
      <c r="FQ47" s="251"/>
      <c r="FR47" s="251"/>
      <c r="FS47" s="251"/>
      <c r="FT47" s="251"/>
      <c r="FU47" s="251"/>
      <c r="FV47" s="251"/>
      <c r="FW47" s="251"/>
      <c r="FX47" s="251"/>
      <c r="FY47" s="251"/>
      <c r="FZ47" s="251"/>
      <c r="GA47" s="251"/>
      <c r="GB47" s="251"/>
      <c r="GC47" s="251"/>
      <c r="GD47" s="251"/>
      <c r="GE47" s="251"/>
      <c r="GF47" s="251"/>
      <c r="GG47" s="251"/>
    </row>
    <row r="48" spans="1:189" s="251" customFormat="1" x14ac:dyDescent="0.25">
      <c r="A48" s="252" t="s">
        <v>13</v>
      </c>
      <c r="B48" s="253">
        <f t="shared" si="7"/>
        <v>471669</v>
      </c>
      <c r="C48" s="253">
        <f t="shared" si="7"/>
        <v>471669</v>
      </c>
      <c r="D48" s="253">
        <f t="shared" si="7"/>
        <v>0</v>
      </c>
      <c r="E48" s="253">
        <f>SUM(E49:E51)</f>
        <v>0</v>
      </c>
      <c r="F48" s="253">
        <f>SUM(F49:F51)</f>
        <v>0</v>
      </c>
      <c r="G48" s="253">
        <f t="shared" si="8"/>
        <v>0</v>
      </c>
      <c r="H48" s="253">
        <f t="shared" ref="H48" si="39">SUM(H49:H51)</f>
        <v>0</v>
      </c>
      <c r="I48" s="253">
        <f t="shared" ref="I48" si="40">SUM(I49:I51)</f>
        <v>0</v>
      </c>
      <c r="J48" s="253">
        <f t="shared" si="0"/>
        <v>0</v>
      </c>
      <c r="K48" s="253">
        <f t="shared" ref="K48" si="41">SUM(K49:K51)</f>
        <v>0</v>
      </c>
      <c r="L48" s="253">
        <f t="shared" ref="L48" si="42">SUM(L49:L51)</f>
        <v>0</v>
      </c>
      <c r="M48" s="253">
        <f t="shared" si="1"/>
        <v>0</v>
      </c>
      <c r="N48" s="253">
        <f t="shared" ref="N48" si="43">SUM(N49:N51)</f>
        <v>0</v>
      </c>
      <c r="O48" s="253">
        <f t="shared" ref="O48" si="44">SUM(O49:O51)</f>
        <v>0</v>
      </c>
      <c r="P48" s="253">
        <f t="shared" si="2"/>
        <v>0</v>
      </c>
      <c r="Q48" s="253">
        <f t="shared" ref="Q48" si="45">SUM(Q49:Q51)</f>
        <v>201669</v>
      </c>
      <c r="R48" s="253">
        <f t="shared" ref="R48" si="46">SUM(R49:R51)</f>
        <v>201669</v>
      </c>
      <c r="S48" s="253">
        <f t="shared" si="3"/>
        <v>0</v>
      </c>
      <c r="T48" s="253">
        <f t="shared" ref="T48" si="47">SUM(T49:T51)</f>
        <v>0</v>
      </c>
      <c r="U48" s="253">
        <f t="shared" ref="U48" si="48">SUM(U49:U51)</f>
        <v>0</v>
      </c>
      <c r="V48" s="253">
        <f t="shared" si="4"/>
        <v>0</v>
      </c>
      <c r="W48" s="253">
        <f t="shared" ref="W48:X48" si="49">SUM(W49:W51)</f>
        <v>0</v>
      </c>
      <c r="X48" s="253">
        <f t="shared" si="49"/>
        <v>0</v>
      </c>
      <c r="Y48" s="253">
        <f t="shared" si="5"/>
        <v>0</v>
      </c>
      <c r="Z48" s="253">
        <f t="shared" ref="Z48" si="50">SUM(Z49:Z51)</f>
        <v>270000</v>
      </c>
      <c r="AA48" s="253">
        <f t="shared" ref="AA48" si="51">SUM(AA49:AA51)</f>
        <v>270000</v>
      </c>
      <c r="AB48" s="253">
        <f t="shared" si="6"/>
        <v>0</v>
      </c>
    </row>
    <row r="49" spans="1:189" s="254" customFormat="1" x14ac:dyDescent="0.25">
      <c r="A49" s="259" t="s">
        <v>38</v>
      </c>
      <c r="B49" s="260">
        <f t="shared" si="7"/>
        <v>350000</v>
      </c>
      <c r="C49" s="260">
        <f t="shared" si="7"/>
        <v>350000</v>
      </c>
      <c r="D49" s="260">
        <f t="shared" si="7"/>
        <v>0</v>
      </c>
      <c r="E49" s="260"/>
      <c r="F49" s="260"/>
      <c r="G49" s="260">
        <f t="shared" si="8"/>
        <v>0</v>
      </c>
      <c r="H49" s="260"/>
      <c r="I49" s="260"/>
      <c r="J49" s="260">
        <f t="shared" si="0"/>
        <v>0</v>
      </c>
      <c r="K49" s="260"/>
      <c r="L49" s="260"/>
      <c r="M49" s="260">
        <f t="shared" si="1"/>
        <v>0</v>
      </c>
      <c r="N49" s="260"/>
      <c r="O49" s="260"/>
      <c r="P49" s="260">
        <f t="shared" si="2"/>
        <v>0</v>
      </c>
      <c r="Q49" s="260">
        <v>80000</v>
      </c>
      <c r="R49" s="260">
        <v>80000</v>
      </c>
      <c r="S49" s="260">
        <f t="shared" si="3"/>
        <v>0</v>
      </c>
      <c r="T49" s="260"/>
      <c r="U49" s="260"/>
      <c r="V49" s="260">
        <f t="shared" si="4"/>
        <v>0</v>
      </c>
      <c r="W49" s="260"/>
      <c r="X49" s="260"/>
      <c r="Y49" s="260">
        <f t="shared" si="5"/>
        <v>0</v>
      </c>
      <c r="Z49" s="260">
        <v>270000</v>
      </c>
      <c r="AA49" s="260">
        <v>270000</v>
      </c>
      <c r="AB49" s="260">
        <f t="shared" si="6"/>
        <v>0</v>
      </c>
    </row>
    <row r="50" spans="1:189" s="254" customFormat="1" ht="31.5" x14ac:dyDescent="0.25">
      <c r="A50" s="259" t="s">
        <v>399</v>
      </c>
      <c r="B50" s="260">
        <f t="shared" si="7"/>
        <v>119928</v>
      </c>
      <c r="C50" s="260">
        <f t="shared" si="7"/>
        <v>119928</v>
      </c>
      <c r="D50" s="260">
        <f t="shared" si="7"/>
        <v>0</v>
      </c>
      <c r="E50" s="260"/>
      <c r="F50" s="260"/>
      <c r="G50" s="260">
        <f t="shared" si="8"/>
        <v>0</v>
      </c>
      <c r="H50" s="260"/>
      <c r="I50" s="260"/>
      <c r="J50" s="260">
        <f t="shared" si="0"/>
        <v>0</v>
      </c>
      <c r="K50" s="260"/>
      <c r="L50" s="260"/>
      <c r="M50" s="260">
        <f t="shared" si="1"/>
        <v>0</v>
      </c>
      <c r="N50" s="260"/>
      <c r="O50" s="260"/>
      <c r="P50" s="260">
        <f t="shared" si="2"/>
        <v>0</v>
      </c>
      <c r="Q50" s="260">
        <f>95431+528+23969</f>
        <v>119928</v>
      </c>
      <c r="R50" s="260">
        <f>95431+528+23969</f>
        <v>119928</v>
      </c>
      <c r="S50" s="260">
        <f t="shared" si="3"/>
        <v>0</v>
      </c>
      <c r="T50" s="260"/>
      <c r="U50" s="260"/>
      <c r="V50" s="260">
        <f t="shared" si="4"/>
        <v>0</v>
      </c>
      <c r="W50" s="260"/>
      <c r="X50" s="260"/>
      <c r="Y50" s="260">
        <f t="shared" si="5"/>
        <v>0</v>
      </c>
      <c r="Z50" s="260"/>
      <c r="AA50" s="260"/>
      <c r="AB50" s="260">
        <f t="shared" si="6"/>
        <v>0</v>
      </c>
    </row>
    <row r="51" spans="1:189" s="254" customFormat="1" ht="31.5" x14ac:dyDescent="0.25">
      <c r="A51" s="259" t="s">
        <v>437</v>
      </c>
      <c r="B51" s="260">
        <f t="shared" si="7"/>
        <v>1741</v>
      </c>
      <c r="C51" s="260">
        <f t="shared" si="7"/>
        <v>1741</v>
      </c>
      <c r="D51" s="260">
        <f t="shared" si="7"/>
        <v>0</v>
      </c>
      <c r="E51" s="260"/>
      <c r="F51" s="260"/>
      <c r="G51" s="260">
        <f t="shared" si="8"/>
        <v>0</v>
      </c>
      <c r="H51" s="260"/>
      <c r="I51" s="260"/>
      <c r="J51" s="260">
        <f t="shared" si="0"/>
        <v>0</v>
      </c>
      <c r="K51" s="260"/>
      <c r="L51" s="260"/>
      <c r="M51" s="260">
        <f t="shared" si="1"/>
        <v>0</v>
      </c>
      <c r="N51" s="260"/>
      <c r="O51" s="260"/>
      <c r="P51" s="260">
        <f t="shared" si="2"/>
        <v>0</v>
      </c>
      <c r="Q51" s="260">
        <v>1741</v>
      </c>
      <c r="R51" s="260">
        <v>1741</v>
      </c>
      <c r="S51" s="260">
        <f t="shared" si="3"/>
        <v>0</v>
      </c>
      <c r="T51" s="260"/>
      <c r="U51" s="260"/>
      <c r="V51" s="260">
        <f t="shared" si="4"/>
        <v>0</v>
      </c>
      <c r="W51" s="260"/>
      <c r="X51" s="260"/>
      <c r="Y51" s="260">
        <f t="shared" si="5"/>
        <v>0</v>
      </c>
      <c r="Z51" s="260"/>
      <c r="AA51" s="260"/>
      <c r="AB51" s="260">
        <f t="shared" si="6"/>
        <v>0</v>
      </c>
    </row>
    <row r="52" spans="1:189" s="254" customFormat="1" ht="31.5" x14ac:dyDescent="0.25">
      <c r="A52" s="252" t="s">
        <v>39</v>
      </c>
      <c r="B52" s="253">
        <f t="shared" si="7"/>
        <v>683558</v>
      </c>
      <c r="C52" s="253">
        <f t="shared" si="7"/>
        <v>683558</v>
      </c>
      <c r="D52" s="253">
        <f t="shared" si="7"/>
        <v>0</v>
      </c>
      <c r="E52" s="253">
        <f t="shared" ref="E52:AA52" si="52">SUM(E53)</f>
        <v>0</v>
      </c>
      <c r="F52" s="253">
        <f t="shared" si="52"/>
        <v>0</v>
      </c>
      <c r="G52" s="253">
        <f t="shared" si="8"/>
        <v>0</v>
      </c>
      <c r="H52" s="253">
        <f t="shared" si="52"/>
        <v>5468</v>
      </c>
      <c r="I52" s="253">
        <f t="shared" si="52"/>
        <v>5468</v>
      </c>
      <c r="J52" s="253">
        <f t="shared" si="0"/>
        <v>0</v>
      </c>
      <c r="K52" s="253">
        <f t="shared" si="52"/>
        <v>56088</v>
      </c>
      <c r="L52" s="253">
        <f t="shared" si="52"/>
        <v>56088</v>
      </c>
      <c r="M52" s="253">
        <f t="shared" si="1"/>
        <v>0</v>
      </c>
      <c r="N52" s="253">
        <f t="shared" si="52"/>
        <v>580747</v>
      </c>
      <c r="O52" s="253">
        <f t="shared" si="52"/>
        <v>580747</v>
      </c>
      <c r="P52" s="253">
        <f t="shared" si="2"/>
        <v>0</v>
      </c>
      <c r="Q52" s="253">
        <f t="shared" si="52"/>
        <v>16301</v>
      </c>
      <c r="R52" s="253">
        <f t="shared" si="52"/>
        <v>16301</v>
      </c>
      <c r="S52" s="253">
        <f t="shared" si="3"/>
        <v>0</v>
      </c>
      <c r="T52" s="253">
        <f t="shared" si="52"/>
        <v>0</v>
      </c>
      <c r="U52" s="253">
        <f t="shared" si="52"/>
        <v>0</v>
      </c>
      <c r="V52" s="253">
        <f t="shared" si="4"/>
        <v>0</v>
      </c>
      <c r="W52" s="253">
        <f t="shared" si="52"/>
        <v>24954</v>
      </c>
      <c r="X52" s="253">
        <f t="shared" si="52"/>
        <v>24954</v>
      </c>
      <c r="Y52" s="253">
        <f t="shared" si="5"/>
        <v>0</v>
      </c>
      <c r="Z52" s="253">
        <f t="shared" si="52"/>
        <v>0</v>
      </c>
      <c r="AA52" s="253">
        <f t="shared" si="52"/>
        <v>0</v>
      </c>
      <c r="AB52" s="253">
        <f t="shared" si="6"/>
        <v>0</v>
      </c>
    </row>
    <row r="53" spans="1:189" s="254" customFormat="1" x14ac:dyDescent="0.25">
      <c r="A53" s="252" t="s">
        <v>13</v>
      </c>
      <c r="B53" s="253">
        <f t="shared" si="7"/>
        <v>683558</v>
      </c>
      <c r="C53" s="253">
        <f t="shared" si="7"/>
        <v>683558</v>
      </c>
      <c r="D53" s="253">
        <f t="shared" si="7"/>
        <v>0</v>
      </c>
      <c r="E53" s="253">
        <f>SUM(E54:E63)</f>
        <v>0</v>
      </c>
      <c r="F53" s="253">
        <f>SUM(F54:F63)</f>
        <v>0</v>
      </c>
      <c r="G53" s="253">
        <f t="shared" si="8"/>
        <v>0</v>
      </c>
      <c r="H53" s="253">
        <f t="shared" ref="H53" si="53">SUM(H54:H63)</f>
        <v>5468</v>
      </c>
      <c r="I53" s="253">
        <f t="shared" ref="I53" si="54">SUM(I54:I63)</f>
        <v>5468</v>
      </c>
      <c r="J53" s="253">
        <f t="shared" si="0"/>
        <v>0</v>
      </c>
      <c r="K53" s="253">
        <f t="shared" ref="K53" si="55">SUM(K54:K63)</f>
        <v>56088</v>
      </c>
      <c r="L53" s="253">
        <f t="shared" ref="L53" si="56">SUM(L54:L63)</f>
        <v>56088</v>
      </c>
      <c r="M53" s="253">
        <f t="shared" si="1"/>
        <v>0</v>
      </c>
      <c r="N53" s="253">
        <f t="shared" ref="N53" si="57">SUM(N54:N63)</f>
        <v>580747</v>
      </c>
      <c r="O53" s="253">
        <f t="shared" ref="O53" si="58">SUM(O54:O63)</f>
        <v>580747</v>
      </c>
      <c r="P53" s="253">
        <f t="shared" si="2"/>
        <v>0</v>
      </c>
      <c r="Q53" s="253">
        <f t="shared" ref="Q53" si="59">SUM(Q54:Q63)</f>
        <v>16301</v>
      </c>
      <c r="R53" s="253">
        <f t="shared" ref="R53" si="60">SUM(R54:R63)</f>
        <v>16301</v>
      </c>
      <c r="S53" s="253">
        <f t="shared" si="3"/>
        <v>0</v>
      </c>
      <c r="T53" s="253">
        <f t="shared" ref="T53" si="61">SUM(T54:T63)</f>
        <v>0</v>
      </c>
      <c r="U53" s="253">
        <f t="shared" ref="U53" si="62">SUM(U54:U63)</f>
        <v>0</v>
      </c>
      <c r="V53" s="253">
        <f t="shared" si="4"/>
        <v>0</v>
      </c>
      <c r="W53" s="253">
        <f t="shared" ref="W53:X53" si="63">SUM(W54:W63)</f>
        <v>24954</v>
      </c>
      <c r="X53" s="253">
        <f t="shared" si="63"/>
        <v>24954</v>
      </c>
      <c r="Y53" s="253">
        <f t="shared" si="5"/>
        <v>0</v>
      </c>
      <c r="Z53" s="253">
        <f t="shared" ref="Z53" si="64">SUM(Z54:Z63)</f>
        <v>0</v>
      </c>
      <c r="AA53" s="253">
        <f t="shared" ref="AA53" si="65">SUM(AA54:AA63)</f>
        <v>0</v>
      </c>
      <c r="AB53" s="253">
        <f t="shared" si="6"/>
        <v>0</v>
      </c>
    </row>
    <row r="54" spans="1:189" s="251" customFormat="1" ht="110.25" x14ac:dyDescent="0.25">
      <c r="A54" s="261" t="s">
        <v>40</v>
      </c>
      <c r="B54" s="263">
        <f t="shared" si="7"/>
        <v>130000</v>
      </c>
      <c r="C54" s="263">
        <f t="shared" si="7"/>
        <v>130000</v>
      </c>
      <c r="D54" s="263">
        <f t="shared" si="7"/>
        <v>0</v>
      </c>
      <c r="E54" s="263"/>
      <c r="F54" s="263"/>
      <c r="G54" s="263">
        <f t="shared" si="8"/>
        <v>0</v>
      </c>
      <c r="H54" s="263"/>
      <c r="I54" s="263"/>
      <c r="J54" s="263">
        <f t="shared" si="0"/>
        <v>0</v>
      </c>
      <c r="K54" s="263"/>
      <c r="L54" s="263"/>
      <c r="M54" s="263">
        <f t="shared" si="1"/>
        <v>0</v>
      </c>
      <c r="N54" s="263">
        <f>130000</f>
        <v>130000</v>
      </c>
      <c r="O54" s="263">
        <f>130000</f>
        <v>130000</v>
      </c>
      <c r="P54" s="263">
        <f t="shared" si="2"/>
        <v>0</v>
      </c>
      <c r="Q54" s="263"/>
      <c r="R54" s="263"/>
      <c r="S54" s="263">
        <f t="shared" si="3"/>
        <v>0</v>
      </c>
      <c r="T54" s="263"/>
      <c r="U54" s="263"/>
      <c r="V54" s="263">
        <f t="shared" si="4"/>
        <v>0</v>
      </c>
      <c r="W54" s="263"/>
      <c r="X54" s="263"/>
      <c r="Y54" s="263">
        <f t="shared" si="5"/>
        <v>0</v>
      </c>
      <c r="Z54" s="263"/>
      <c r="AA54" s="263"/>
      <c r="AB54" s="263">
        <f t="shared" si="6"/>
        <v>0</v>
      </c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4"/>
      <c r="BW54" s="254"/>
      <c r="BX54" s="254"/>
      <c r="BY54" s="254"/>
      <c r="BZ54" s="254"/>
      <c r="CA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254"/>
      <c r="CN54" s="254"/>
      <c r="CO54" s="254"/>
      <c r="CP54" s="254"/>
      <c r="CQ54" s="254"/>
      <c r="CR54" s="254"/>
      <c r="CS54" s="254"/>
      <c r="CT54" s="254"/>
      <c r="CU54" s="254"/>
      <c r="CV54" s="254"/>
      <c r="CW54" s="254"/>
      <c r="CX54" s="254"/>
      <c r="CY54" s="254"/>
      <c r="CZ54" s="254"/>
      <c r="DA54" s="254"/>
      <c r="DB54" s="254"/>
      <c r="DC54" s="254"/>
      <c r="DD54" s="254"/>
      <c r="DE54" s="254"/>
      <c r="DF54" s="254"/>
      <c r="DG54" s="254"/>
      <c r="DH54" s="254"/>
      <c r="DI54" s="254"/>
      <c r="DJ54" s="254"/>
      <c r="DK54" s="254"/>
      <c r="DL54" s="254"/>
      <c r="DM54" s="254"/>
      <c r="DN54" s="254"/>
      <c r="DO54" s="254"/>
      <c r="DP54" s="254"/>
      <c r="DQ54" s="254"/>
      <c r="DR54" s="254"/>
      <c r="DS54" s="254"/>
      <c r="DT54" s="254"/>
      <c r="DU54" s="254"/>
      <c r="DV54" s="254"/>
      <c r="DW54" s="254"/>
      <c r="DX54" s="254"/>
      <c r="DY54" s="254"/>
      <c r="DZ54" s="254"/>
      <c r="EA54" s="254"/>
      <c r="EB54" s="254"/>
      <c r="EC54" s="254"/>
      <c r="ED54" s="254"/>
      <c r="EE54" s="254"/>
      <c r="EF54" s="254"/>
      <c r="EG54" s="254"/>
      <c r="EH54" s="254"/>
      <c r="EI54" s="254"/>
      <c r="EJ54" s="254"/>
      <c r="EK54" s="254"/>
      <c r="EL54" s="254"/>
      <c r="EM54" s="254"/>
      <c r="EN54" s="254"/>
      <c r="EO54" s="254"/>
      <c r="EP54" s="254"/>
      <c r="EQ54" s="254"/>
      <c r="ER54" s="254"/>
      <c r="ES54" s="254"/>
      <c r="ET54" s="254"/>
      <c r="EU54" s="254"/>
      <c r="EV54" s="254"/>
      <c r="EW54" s="254"/>
      <c r="EX54" s="254"/>
      <c r="EY54" s="254"/>
      <c r="EZ54" s="254"/>
      <c r="FA54" s="254"/>
      <c r="FB54" s="254"/>
      <c r="FC54" s="254"/>
      <c r="FD54" s="254"/>
      <c r="FE54" s="254"/>
      <c r="FF54" s="254"/>
      <c r="FG54" s="254"/>
      <c r="FH54" s="254"/>
      <c r="FI54" s="254"/>
      <c r="FJ54" s="254"/>
      <c r="FK54" s="254"/>
      <c r="FL54" s="254"/>
      <c r="FM54" s="254"/>
      <c r="FN54" s="254"/>
      <c r="FO54" s="254"/>
      <c r="FP54" s="254"/>
      <c r="FQ54" s="254"/>
      <c r="FR54" s="254"/>
      <c r="FS54" s="254"/>
      <c r="FT54" s="254"/>
      <c r="FU54" s="254"/>
      <c r="FV54" s="254"/>
      <c r="FW54" s="254"/>
      <c r="FX54" s="254"/>
      <c r="FY54" s="254"/>
      <c r="FZ54" s="254"/>
      <c r="GA54" s="254"/>
      <c r="GB54" s="254"/>
      <c r="GC54" s="254"/>
      <c r="GD54" s="254"/>
      <c r="GE54" s="254"/>
      <c r="GF54" s="254"/>
      <c r="GG54" s="254"/>
    </row>
    <row r="55" spans="1:189" s="254" customFormat="1" ht="63" x14ac:dyDescent="0.25">
      <c r="A55" s="261" t="s">
        <v>463</v>
      </c>
      <c r="B55" s="257">
        <f t="shared" si="7"/>
        <v>53191</v>
      </c>
      <c r="C55" s="257">
        <f t="shared" si="7"/>
        <v>53191</v>
      </c>
      <c r="D55" s="257">
        <f t="shared" si="7"/>
        <v>0</v>
      </c>
      <c r="E55" s="257"/>
      <c r="F55" s="257"/>
      <c r="G55" s="257">
        <f t="shared" si="8"/>
        <v>0</v>
      </c>
      <c r="H55" s="257"/>
      <c r="I55" s="257"/>
      <c r="J55" s="257">
        <f t="shared" si="0"/>
        <v>0</v>
      </c>
      <c r="K55" s="257"/>
      <c r="L55" s="257"/>
      <c r="M55" s="257">
        <f t="shared" si="1"/>
        <v>0</v>
      </c>
      <c r="N55" s="257">
        <v>53191</v>
      </c>
      <c r="O55" s="257">
        <v>53191</v>
      </c>
      <c r="P55" s="257">
        <f t="shared" si="2"/>
        <v>0</v>
      </c>
      <c r="Q55" s="257"/>
      <c r="R55" s="257"/>
      <c r="S55" s="257">
        <f t="shared" si="3"/>
        <v>0</v>
      </c>
      <c r="T55" s="257"/>
      <c r="U55" s="257"/>
      <c r="V55" s="257">
        <f t="shared" si="4"/>
        <v>0</v>
      </c>
      <c r="W55" s="257"/>
      <c r="X55" s="257"/>
      <c r="Y55" s="257">
        <f t="shared" si="5"/>
        <v>0</v>
      </c>
      <c r="Z55" s="257"/>
      <c r="AA55" s="257"/>
      <c r="AB55" s="257">
        <f t="shared" si="6"/>
        <v>0</v>
      </c>
    </row>
    <row r="56" spans="1:189" s="254" customFormat="1" ht="41.25" customHeight="1" x14ac:dyDescent="0.25">
      <c r="A56" s="261" t="s">
        <v>509</v>
      </c>
      <c r="B56" s="257">
        <f t="shared" si="7"/>
        <v>14640</v>
      </c>
      <c r="C56" s="257">
        <f t="shared" si="7"/>
        <v>14640</v>
      </c>
      <c r="D56" s="257">
        <f t="shared" si="7"/>
        <v>0</v>
      </c>
      <c r="E56" s="257"/>
      <c r="F56" s="257"/>
      <c r="G56" s="257">
        <f t="shared" si="8"/>
        <v>0</v>
      </c>
      <c r="H56" s="257"/>
      <c r="I56" s="257"/>
      <c r="J56" s="257">
        <f t="shared" si="0"/>
        <v>0</v>
      </c>
      <c r="K56" s="257">
        <v>14640</v>
      </c>
      <c r="L56" s="257">
        <v>14640</v>
      </c>
      <c r="M56" s="257">
        <f>L56-K56</f>
        <v>0</v>
      </c>
      <c r="N56" s="257"/>
      <c r="O56" s="257"/>
      <c r="P56" s="257">
        <f t="shared" si="2"/>
        <v>0</v>
      </c>
      <c r="Q56" s="257"/>
      <c r="R56" s="257"/>
      <c r="S56" s="257">
        <v>0</v>
      </c>
      <c r="T56" s="257"/>
      <c r="U56" s="257"/>
      <c r="V56" s="257">
        <v>0</v>
      </c>
      <c r="W56" s="257"/>
      <c r="X56" s="257"/>
      <c r="Y56" s="257">
        <v>0</v>
      </c>
      <c r="Z56" s="257"/>
      <c r="AA56" s="257"/>
      <c r="AB56" s="257">
        <v>0</v>
      </c>
    </row>
    <row r="57" spans="1:189" s="254" customFormat="1" ht="47.25" x14ac:dyDescent="0.25">
      <c r="A57" s="256" t="s">
        <v>432</v>
      </c>
      <c r="B57" s="257">
        <f t="shared" si="7"/>
        <v>5468</v>
      </c>
      <c r="C57" s="257">
        <f t="shared" si="7"/>
        <v>5468</v>
      </c>
      <c r="D57" s="257">
        <f t="shared" si="7"/>
        <v>0</v>
      </c>
      <c r="E57" s="257"/>
      <c r="F57" s="257"/>
      <c r="G57" s="257">
        <f t="shared" si="8"/>
        <v>0</v>
      </c>
      <c r="H57" s="257">
        <f>5100+368</f>
        <v>5468</v>
      </c>
      <c r="I57" s="257">
        <f>5100+368</f>
        <v>5468</v>
      </c>
      <c r="J57" s="257">
        <f t="shared" si="0"/>
        <v>0</v>
      </c>
      <c r="K57" s="257"/>
      <c r="L57" s="257"/>
      <c r="M57" s="257">
        <f t="shared" si="1"/>
        <v>0</v>
      </c>
      <c r="N57" s="257"/>
      <c r="O57" s="257"/>
      <c r="P57" s="257">
        <f t="shared" si="2"/>
        <v>0</v>
      </c>
      <c r="Q57" s="257"/>
      <c r="R57" s="257"/>
      <c r="S57" s="257">
        <f t="shared" si="3"/>
        <v>0</v>
      </c>
      <c r="T57" s="257"/>
      <c r="U57" s="257"/>
      <c r="V57" s="257">
        <f t="shared" si="4"/>
        <v>0</v>
      </c>
      <c r="W57" s="257"/>
      <c r="X57" s="257"/>
      <c r="Y57" s="257">
        <f t="shared" si="5"/>
        <v>0</v>
      </c>
      <c r="Z57" s="257"/>
      <c r="AA57" s="257"/>
      <c r="AB57" s="257">
        <f t="shared" si="6"/>
        <v>0</v>
      </c>
    </row>
    <row r="58" spans="1:189" s="254" customFormat="1" ht="47.25" x14ac:dyDescent="0.25">
      <c r="A58" s="256" t="s">
        <v>411</v>
      </c>
      <c r="B58" s="257">
        <f t="shared" si="7"/>
        <v>3000</v>
      </c>
      <c r="C58" s="257">
        <f t="shared" si="7"/>
        <v>3000</v>
      </c>
      <c r="D58" s="257">
        <f t="shared" si="7"/>
        <v>0</v>
      </c>
      <c r="E58" s="257"/>
      <c r="F58" s="257"/>
      <c r="G58" s="257">
        <f t="shared" si="8"/>
        <v>0</v>
      </c>
      <c r="H58" s="257"/>
      <c r="I58" s="257"/>
      <c r="J58" s="257">
        <f t="shared" si="0"/>
        <v>0</v>
      </c>
      <c r="K58" s="257">
        <v>3000</v>
      </c>
      <c r="L58" s="257">
        <v>3000</v>
      </c>
      <c r="M58" s="257">
        <f>L58-K58</f>
        <v>0</v>
      </c>
      <c r="N58" s="257"/>
      <c r="O58" s="257"/>
      <c r="P58" s="257">
        <f t="shared" si="2"/>
        <v>0</v>
      </c>
      <c r="Q58" s="257"/>
      <c r="R58" s="257"/>
      <c r="S58" s="257">
        <f t="shared" si="3"/>
        <v>0</v>
      </c>
      <c r="T58" s="257"/>
      <c r="U58" s="257"/>
      <c r="V58" s="257">
        <f t="shared" si="4"/>
        <v>0</v>
      </c>
      <c r="W58" s="257"/>
      <c r="X58" s="257"/>
      <c r="Y58" s="257">
        <f t="shared" si="5"/>
        <v>0</v>
      </c>
      <c r="Z58" s="257"/>
      <c r="AA58" s="257"/>
      <c r="AB58" s="257">
        <f t="shared" si="6"/>
        <v>0</v>
      </c>
    </row>
    <row r="59" spans="1:189" s="254" customFormat="1" ht="31.5" x14ac:dyDescent="0.25">
      <c r="A59" s="256" t="s">
        <v>438</v>
      </c>
      <c r="B59" s="257">
        <f t="shared" si="7"/>
        <v>5000</v>
      </c>
      <c r="C59" s="257">
        <f t="shared" si="7"/>
        <v>5000</v>
      </c>
      <c r="D59" s="257">
        <f t="shared" si="7"/>
        <v>0</v>
      </c>
      <c r="E59" s="257"/>
      <c r="F59" s="257"/>
      <c r="G59" s="257">
        <f t="shared" si="8"/>
        <v>0</v>
      </c>
      <c r="H59" s="257"/>
      <c r="I59" s="257"/>
      <c r="J59" s="257">
        <f t="shared" si="0"/>
        <v>0</v>
      </c>
      <c r="K59" s="257">
        <v>5000</v>
      </c>
      <c r="L59" s="257">
        <v>5000</v>
      </c>
      <c r="M59" s="257">
        <f t="shared" si="1"/>
        <v>0</v>
      </c>
      <c r="N59" s="257"/>
      <c r="O59" s="257"/>
      <c r="P59" s="257">
        <f t="shared" si="2"/>
        <v>0</v>
      </c>
      <c r="Q59" s="257"/>
      <c r="R59" s="257"/>
      <c r="S59" s="257">
        <f t="shared" si="3"/>
        <v>0</v>
      </c>
      <c r="T59" s="257"/>
      <c r="U59" s="257"/>
      <c r="V59" s="257">
        <f t="shared" si="4"/>
        <v>0</v>
      </c>
      <c r="W59" s="257"/>
      <c r="X59" s="257"/>
      <c r="Y59" s="257">
        <f t="shared" si="5"/>
        <v>0</v>
      </c>
      <c r="Z59" s="257"/>
      <c r="AA59" s="257"/>
      <c r="AB59" s="257">
        <f t="shared" si="6"/>
        <v>0</v>
      </c>
    </row>
    <row r="60" spans="1:189" s="254" customFormat="1" x14ac:dyDescent="0.25">
      <c r="A60" s="256" t="s">
        <v>439</v>
      </c>
      <c r="B60" s="257">
        <f t="shared" si="7"/>
        <v>6248</v>
      </c>
      <c r="C60" s="257">
        <f t="shared" si="7"/>
        <v>6248</v>
      </c>
      <c r="D60" s="257">
        <f t="shared" si="7"/>
        <v>0</v>
      </c>
      <c r="E60" s="257"/>
      <c r="F60" s="257"/>
      <c r="G60" s="257">
        <f t="shared" si="8"/>
        <v>0</v>
      </c>
      <c r="H60" s="257"/>
      <c r="I60" s="257"/>
      <c r="J60" s="257">
        <f t="shared" si="0"/>
        <v>0</v>
      </c>
      <c r="K60" s="257">
        <v>6248</v>
      </c>
      <c r="L60" s="257">
        <v>6248</v>
      </c>
      <c r="M60" s="257">
        <f t="shared" si="1"/>
        <v>0</v>
      </c>
      <c r="N60" s="257"/>
      <c r="O60" s="257"/>
      <c r="P60" s="257">
        <f t="shared" si="2"/>
        <v>0</v>
      </c>
      <c r="Q60" s="257"/>
      <c r="R60" s="257"/>
      <c r="S60" s="257">
        <f t="shared" si="3"/>
        <v>0</v>
      </c>
      <c r="T60" s="257"/>
      <c r="U60" s="257"/>
      <c r="V60" s="257">
        <f t="shared" si="4"/>
        <v>0</v>
      </c>
      <c r="W60" s="257"/>
      <c r="X60" s="257"/>
      <c r="Y60" s="257">
        <f t="shared" si="5"/>
        <v>0</v>
      </c>
      <c r="Z60" s="257"/>
      <c r="AA60" s="257"/>
      <c r="AB60" s="257">
        <f t="shared" si="6"/>
        <v>0</v>
      </c>
    </row>
    <row r="61" spans="1:189" s="254" customFormat="1" ht="31.5" x14ac:dyDescent="0.25">
      <c r="A61" s="256" t="s">
        <v>425</v>
      </c>
      <c r="B61" s="257">
        <f t="shared" si="7"/>
        <v>49908</v>
      </c>
      <c r="C61" s="257">
        <f t="shared" si="7"/>
        <v>49908</v>
      </c>
      <c r="D61" s="257">
        <f t="shared" si="7"/>
        <v>0</v>
      </c>
      <c r="E61" s="257"/>
      <c r="F61" s="257"/>
      <c r="G61" s="257">
        <f t="shared" si="8"/>
        <v>0</v>
      </c>
      <c r="H61" s="257"/>
      <c r="I61" s="257"/>
      <c r="J61" s="257">
        <f t="shared" si="0"/>
        <v>0</v>
      </c>
      <c r="K61" s="257">
        <v>24954</v>
      </c>
      <c r="L61" s="257">
        <v>24954</v>
      </c>
      <c r="M61" s="257">
        <f t="shared" si="1"/>
        <v>0</v>
      </c>
      <c r="N61" s="257"/>
      <c r="O61" s="257"/>
      <c r="P61" s="257">
        <f t="shared" si="2"/>
        <v>0</v>
      </c>
      <c r="Q61" s="257"/>
      <c r="R61" s="257"/>
      <c r="S61" s="257">
        <f t="shared" si="3"/>
        <v>0</v>
      </c>
      <c r="T61" s="257"/>
      <c r="U61" s="257"/>
      <c r="V61" s="257">
        <f t="shared" si="4"/>
        <v>0</v>
      </c>
      <c r="W61" s="257">
        <v>24954</v>
      </c>
      <c r="X61" s="257">
        <v>24954</v>
      </c>
      <c r="Y61" s="257">
        <f t="shared" si="5"/>
        <v>0</v>
      </c>
      <c r="Z61" s="257"/>
      <c r="AA61" s="257"/>
      <c r="AB61" s="257">
        <f t="shared" si="6"/>
        <v>0</v>
      </c>
    </row>
    <row r="62" spans="1:189" s="254" customFormat="1" ht="31.5" x14ac:dyDescent="0.25">
      <c r="A62" s="261" t="s">
        <v>400</v>
      </c>
      <c r="B62" s="257">
        <f t="shared" si="7"/>
        <v>18547</v>
      </c>
      <c r="C62" s="257">
        <f t="shared" si="7"/>
        <v>18547</v>
      </c>
      <c r="D62" s="257">
        <f t="shared" si="7"/>
        <v>0</v>
      </c>
      <c r="E62" s="257"/>
      <c r="F62" s="257"/>
      <c r="G62" s="257">
        <f t="shared" si="8"/>
        <v>0</v>
      </c>
      <c r="H62" s="257"/>
      <c r="I62" s="257"/>
      <c r="J62" s="257">
        <f t="shared" si="0"/>
        <v>0</v>
      </c>
      <c r="K62" s="257">
        <v>2246</v>
      </c>
      <c r="L62" s="257">
        <v>2246</v>
      </c>
      <c r="M62" s="257">
        <f t="shared" si="1"/>
        <v>0</v>
      </c>
      <c r="N62" s="257"/>
      <c r="O62" s="257"/>
      <c r="P62" s="257">
        <f t="shared" si="2"/>
        <v>0</v>
      </c>
      <c r="Q62" s="257">
        <v>16301</v>
      </c>
      <c r="R62" s="257">
        <v>16301</v>
      </c>
      <c r="S62" s="257">
        <f t="shared" si="3"/>
        <v>0</v>
      </c>
      <c r="T62" s="257"/>
      <c r="U62" s="257"/>
      <c r="V62" s="257">
        <f t="shared" si="4"/>
        <v>0</v>
      </c>
      <c r="W62" s="257"/>
      <c r="X62" s="257"/>
      <c r="Y62" s="257">
        <f t="shared" si="5"/>
        <v>0</v>
      </c>
      <c r="Z62" s="257"/>
      <c r="AA62" s="257"/>
      <c r="AB62" s="257">
        <f t="shared" si="6"/>
        <v>0</v>
      </c>
    </row>
    <row r="63" spans="1:189" s="254" customFormat="1" ht="78.75" x14ac:dyDescent="0.25">
      <c r="A63" s="261" t="s">
        <v>41</v>
      </c>
      <c r="B63" s="257">
        <f t="shared" si="7"/>
        <v>397556</v>
      </c>
      <c r="C63" s="257">
        <f t="shared" si="7"/>
        <v>397556</v>
      </c>
      <c r="D63" s="257">
        <f t="shared" si="7"/>
        <v>0</v>
      </c>
      <c r="E63" s="257"/>
      <c r="F63" s="257"/>
      <c r="G63" s="257">
        <f t="shared" si="8"/>
        <v>0</v>
      </c>
      <c r="H63" s="257"/>
      <c r="I63" s="257"/>
      <c r="J63" s="257">
        <f t="shared" si="0"/>
        <v>0</v>
      </c>
      <c r="K63" s="257"/>
      <c r="L63" s="257"/>
      <c r="M63" s="257">
        <f t="shared" si="1"/>
        <v>0</v>
      </c>
      <c r="N63" s="257">
        <f>394555+3001</f>
        <v>397556</v>
      </c>
      <c r="O63" s="257">
        <f>394555+3001</f>
        <v>397556</v>
      </c>
      <c r="P63" s="257">
        <f t="shared" si="2"/>
        <v>0</v>
      </c>
      <c r="Q63" s="257"/>
      <c r="R63" s="257"/>
      <c r="S63" s="257">
        <f t="shared" si="3"/>
        <v>0</v>
      </c>
      <c r="T63" s="257"/>
      <c r="U63" s="257"/>
      <c r="V63" s="257">
        <f t="shared" si="4"/>
        <v>0</v>
      </c>
      <c r="W63" s="257"/>
      <c r="X63" s="257"/>
      <c r="Y63" s="257">
        <f t="shared" si="5"/>
        <v>0</v>
      </c>
      <c r="Z63" s="257"/>
      <c r="AA63" s="257"/>
      <c r="AB63" s="257">
        <f t="shared" si="6"/>
        <v>0</v>
      </c>
    </row>
    <row r="64" spans="1:189" s="254" customFormat="1" ht="31.5" x14ac:dyDescent="0.25">
      <c r="A64" s="252" t="s">
        <v>42</v>
      </c>
      <c r="B64" s="253">
        <f t="shared" si="7"/>
        <v>10595619</v>
      </c>
      <c r="C64" s="253">
        <f t="shared" si="7"/>
        <v>10650111</v>
      </c>
      <c r="D64" s="253">
        <f t="shared" si="7"/>
        <v>54492</v>
      </c>
      <c r="E64" s="253">
        <f t="shared" ref="E64:AA64" si="66">SUM(E65)</f>
        <v>151089</v>
      </c>
      <c r="F64" s="253">
        <f t="shared" si="66"/>
        <v>280755</v>
      </c>
      <c r="G64" s="253">
        <f t="shared" si="8"/>
        <v>129666</v>
      </c>
      <c r="H64" s="253">
        <f t="shared" si="66"/>
        <v>149762</v>
      </c>
      <c r="I64" s="253">
        <f t="shared" si="66"/>
        <v>246684</v>
      </c>
      <c r="J64" s="253">
        <f t="shared" si="0"/>
        <v>96922</v>
      </c>
      <c r="K64" s="253">
        <f t="shared" si="66"/>
        <v>1567851</v>
      </c>
      <c r="L64" s="253">
        <f t="shared" si="66"/>
        <v>910126</v>
      </c>
      <c r="M64" s="253">
        <f t="shared" si="1"/>
        <v>-657725</v>
      </c>
      <c r="N64" s="253">
        <f t="shared" si="66"/>
        <v>4477843</v>
      </c>
      <c r="O64" s="253">
        <f t="shared" si="66"/>
        <v>4477843</v>
      </c>
      <c r="P64" s="253">
        <f t="shared" si="2"/>
        <v>0</v>
      </c>
      <c r="Q64" s="253">
        <f t="shared" si="66"/>
        <v>0</v>
      </c>
      <c r="R64" s="253">
        <f t="shared" si="66"/>
        <v>0</v>
      </c>
      <c r="S64" s="253">
        <f t="shared" si="3"/>
        <v>0</v>
      </c>
      <c r="T64" s="253">
        <f t="shared" si="66"/>
        <v>4210206</v>
      </c>
      <c r="U64" s="253">
        <f t="shared" si="66"/>
        <v>4210211</v>
      </c>
      <c r="V64" s="253">
        <f t="shared" si="4"/>
        <v>5</v>
      </c>
      <c r="W64" s="253">
        <f t="shared" si="66"/>
        <v>38868</v>
      </c>
      <c r="X64" s="253">
        <f t="shared" si="66"/>
        <v>524492</v>
      </c>
      <c r="Y64" s="253">
        <f t="shared" si="5"/>
        <v>485624</v>
      </c>
      <c r="Z64" s="253">
        <f t="shared" si="66"/>
        <v>0</v>
      </c>
      <c r="AA64" s="253">
        <f t="shared" si="66"/>
        <v>0</v>
      </c>
      <c r="AB64" s="253">
        <f t="shared" si="6"/>
        <v>0</v>
      </c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  <c r="AW64" s="251"/>
      <c r="AX64" s="251"/>
      <c r="AY64" s="251"/>
      <c r="AZ64" s="251"/>
      <c r="BA64" s="251"/>
      <c r="BB64" s="251"/>
      <c r="BC64" s="251"/>
      <c r="BD64" s="251"/>
      <c r="BE64" s="251"/>
      <c r="BF64" s="251"/>
      <c r="BG64" s="251"/>
      <c r="BH64" s="251"/>
      <c r="BI64" s="251"/>
      <c r="BJ64" s="251"/>
      <c r="BK64" s="251"/>
      <c r="BL64" s="251"/>
      <c r="BM64" s="251"/>
      <c r="BN64" s="251"/>
      <c r="BO64" s="251"/>
      <c r="BP64" s="251"/>
      <c r="BQ64" s="251"/>
      <c r="BR64" s="251"/>
      <c r="BS64" s="251"/>
      <c r="BT64" s="251"/>
      <c r="BU64" s="251"/>
      <c r="BV64" s="251"/>
      <c r="BW64" s="251"/>
      <c r="BX64" s="251"/>
      <c r="BY64" s="251"/>
      <c r="BZ64" s="251"/>
      <c r="CA64" s="251"/>
      <c r="CB64" s="251"/>
      <c r="CC64" s="251"/>
      <c r="CD64" s="251"/>
      <c r="CE64" s="251"/>
      <c r="CF64" s="251"/>
      <c r="CG64" s="251"/>
      <c r="CH64" s="251"/>
      <c r="CI64" s="251"/>
      <c r="CJ64" s="251"/>
      <c r="CK64" s="251"/>
      <c r="CL64" s="251"/>
      <c r="CM64" s="251"/>
      <c r="CN64" s="251"/>
      <c r="CO64" s="251"/>
      <c r="CP64" s="251"/>
      <c r="CQ64" s="251"/>
      <c r="CR64" s="251"/>
      <c r="CS64" s="251"/>
      <c r="CT64" s="251"/>
      <c r="CU64" s="251"/>
      <c r="CV64" s="251"/>
      <c r="CW64" s="251"/>
      <c r="CX64" s="251"/>
      <c r="CY64" s="251"/>
      <c r="CZ64" s="251"/>
      <c r="DA64" s="251"/>
      <c r="DB64" s="251"/>
      <c r="DC64" s="251"/>
      <c r="DD64" s="251"/>
      <c r="DE64" s="251"/>
      <c r="DF64" s="251"/>
      <c r="DG64" s="251"/>
      <c r="DH64" s="251"/>
      <c r="DI64" s="251"/>
      <c r="DJ64" s="251"/>
      <c r="DK64" s="251"/>
      <c r="DL64" s="251"/>
      <c r="DM64" s="251"/>
      <c r="DN64" s="251"/>
      <c r="DO64" s="251"/>
      <c r="DP64" s="251"/>
      <c r="DQ64" s="251"/>
      <c r="DR64" s="251"/>
      <c r="DS64" s="251"/>
      <c r="DT64" s="251"/>
      <c r="DU64" s="251"/>
      <c r="DV64" s="251"/>
      <c r="DW64" s="251"/>
      <c r="DX64" s="251"/>
      <c r="DY64" s="251"/>
      <c r="DZ64" s="251"/>
      <c r="EA64" s="251"/>
      <c r="EB64" s="251"/>
      <c r="EC64" s="251"/>
      <c r="ED64" s="251"/>
      <c r="EE64" s="251"/>
      <c r="EF64" s="251"/>
      <c r="EG64" s="251"/>
      <c r="EH64" s="251"/>
      <c r="EI64" s="251"/>
      <c r="EJ64" s="251"/>
      <c r="EK64" s="251"/>
      <c r="EL64" s="251"/>
      <c r="EM64" s="251"/>
      <c r="EN64" s="251"/>
      <c r="EO64" s="251"/>
      <c r="EP64" s="251"/>
      <c r="EQ64" s="251"/>
      <c r="ER64" s="251"/>
      <c r="ES64" s="251"/>
      <c r="ET64" s="251"/>
      <c r="EU64" s="251"/>
      <c r="EV64" s="251"/>
      <c r="EW64" s="251"/>
      <c r="EX64" s="251"/>
      <c r="EY64" s="251"/>
      <c r="EZ64" s="251"/>
      <c r="FA64" s="251"/>
      <c r="FB64" s="251"/>
      <c r="FC64" s="251"/>
      <c r="FD64" s="251"/>
      <c r="FE64" s="251"/>
      <c r="FF64" s="251"/>
      <c r="FG64" s="251"/>
      <c r="FH64" s="251"/>
      <c r="FI64" s="251"/>
      <c r="FJ64" s="251"/>
      <c r="FK64" s="251"/>
      <c r="FL64" s="251"/>
      <c r="FM64" s="251"/>
      <c r="FN64" s="251"/>
      <c r="FO64" s="251"/>
      <c r="FP64" s="251"/>
      <c r="FQ64" s="251"/>
      <c r="FR64" s="251"/>
      <c r="FS64" s="251"/>
      <c r="FT64" s="251"/>
      <c r="FU64" s="251"/>
      <c r="FV64" s="251"/>
      <c r="FW64" s="251"/>
      <c r="FX64" s="251"/>
      <c r="FY64" s="251"/>
      <c r="FZ64" s="251"/>
      <c r="GA64" s="251"/>
      <c r="GB64" s="251"/>
      <c r="GC64" s="251"/>
      <c r="GD64" s="251"/>
      <c r="GE64" s="251"/>
      <c r="GF64" s="251"/>
      <c r="GG64" s="251"/>
    </row>
    <row r="65" spans="1:189" s="254" customFormat="1" x14ac:dyDescent="0.25">
      <c r="A65" s="252" t="s">
        <v>13</v>
      </c>
      <c r="B65" s="253">
        <f t="shared" si="7"/>
        <v>10595619</v>
      </c>
      <c r="C65" s="253">
        <f t="shared" si="7"/>
        <v>10650111</v>
      </c>
      <c r="D65" s="253">
        <f t="shared" si="7"/>
        <v>54492</v>
      </c>
      <c r="E65" s="253">
        <f>SUM(E66:E78,E79,E116,E147)</f>
        <v>151089</v>
      </c>
      <c r="F65" s="253">
        <f>SUM(F66:F78,F79,F116,F147)</f>
        <v>280755</v>
      </c>
      <c r="G65" s="253">
        <f t="shared" si="8"/>
        <v>129666</v>
      </c>
      <c r="H65" s="253">
        <f t="shared" ref="H65" si="67">SUM(H66:H78,H79,H116,H147)</f>
        <v>149762</v>
      </c>
      <c r="I65" s="253">
        <f t="shared" ref="I65" si="68">SUM(I66:I78,I79,I116,I147)</f>
        <v>246684</v>
      </c>
      <c r="J65" s="253">
        <f t="shared" si="0"/>
        <v>96922</v>
      </c>
      <c r="K65" s="253">
        <f t="shared" ref="K65" si="69">SUM(K66:K78,K79,K116,K147)</f>
        <v>1567851</v>
      </c>
      <c r="L65" s="253">
        <f t="shared" ref="L65" si="70">SUM(L66:L78,L79,L116,L147)</f>
        <v>910126</v>
      </c>
      <c r="M65" s="253">
        <f t="shared" si="1"/>
        <v>-657725</v>
      </c>
      <c r="N65" s="253">
        <f t="shared" ref="N65" si="71">SUM(N66:N78,N79,N116,N147)</f>
        <v>4477843</v>
      </c>
      <c r="O65" s="253">
        <f t="shared" ref="O65" si="72">SUM(O66:O78,O79,O116,O147)</f>
        <v>4477843</v>
      </c>
      <c r="P65" s="253">
        <f t="shared" si="2"/>
        <v>0</v>
      </c>
      <c r="Q65" s="253">
        <f t="shared" ref="Q65" si="73">SUM(Q66:Q78,Q79,Q116,Q147)</f>
        <v>0</v>
      </c>
      <c r="R65" s="253">
        <f t="shared" ref="R65" si="74">SUM(R66:R78,R79,R116,R147)</f>
        <v>0</v>
      </c>
      <c r="S65" s="253">
        <f t="shared" si="3"/>
        <v>0</v>
      </c>
      <c r="T65" s="253">
        <f t="shared" ref="T65" si="75">SUM(T66:T78,T79,T116,T147)</f>
        <v>4210206</v>
      </c>
      <c r="U65" s="253">
        <f t="shared" ref="U65" si="76">SUM(U66:U78,U79,U116,U147)</f>
        <v>4210211</v>
      </c>
      <c r="V65" s="253">
        <f t="shared" si="4"/>
        <v>5</v>
      </c>
      <c r="W65" s="253">
        <f t="shared" ref="W65:X65" si="77">SUM(W66:W78,W79,W116,W147)</f>
        <v>38868</v>
      </c>
      <c r="X65" s="253">
        <f t="shared" si="77"/>
        <v>524492</v>
      </c>
      <c r="Y65" s="253">
        <f t="shared" si="5"/>
        <v>485624</v>
      </c>
      <c r="Z65" s="253">
        <f t="shared" ref="Z65" si="78">SUM(Z66:Z78,Z79,Z116,Z147)</f>
        <v>0</v>
      </c>
      <c r="AA65" s="253">
        <f t="shared" ref="AA65" si="79">SUM(AA66:AA78,AA79,AA116,AA147)</f>
        <v>0</v>
      </c>
      <c r="AB65" s="253">
        <f t="shared" si="6"/>
        <v>0</v>
      </c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251"/>
      <c r="AX65" s="251"/>
      <c r="AY65" s="251"/>
      <c r="AZ65" s="251"/>
      <c r="BA65" s="251"/>
      <c r="BB65" s="251"/>
      <c r="BC65" s="251"/>
      <c r="BD65" s="251"/>
      <c r="BE65" s="251"/>
      <c r="BF65" s="251"/>
      <c r="BG65" s="251"/>
      <c r="BH65" s="251"/>
      <c r="BI65" s="251"/>
      <c r="BJ65" s="251"/>
      <c r="BK65" s="251"/>
      <c r="BL65" s="251"/>
      <c r="BM65" s="251"/>
      <c r="BN65" s="251"/>
      <c r="BO65" s="251"/>
      <c r="BP65" s="251"/>
      <c r="BQ65" s="251"/>
      <c r="BR65" s="251"/>
      <c r="BS65" s="251"/>
      <c r="BT65" s="251"/>
      <c r="BU65" s="251"/>
      <c r="BV65" s="251"/>
      <c r="BW65" s="251"/>
      <c r="BX65" s="251"/>
      <c r="BY65" s="251"/>
      <c r="BZ65" s="251"/>
      <c r="CA65" s="251"/>
      <c r="CB65" s="251"/>
      <c r="CC65" s="251"/>
      <c r="CD65" s="251"/>
      <c r="CE65" s="251"/>
      <c r="CF65" s="251"/>
      <c r="CG65" s="251"/>
      <c r="CH65" s="251"/>
      <c r="CI65" s="251"/>
      <c r="CJ65" s="251"/>
      <c r="CK65" s="251"/>
      <c r="CL65" s="251"/>
      <c r="CM65" s="251"/>
      <c r="CN65" s="251"/>
      <c r="CO65" s="251"/>
      <c r="CP65" s="251"/>
      <c r="CQ65" s="251"/>
      <c r="CR65" s="251"/>
      <c r="CS65" s="251"/>
      <c r="CT65" s="251"/>
      <c r="CU65" s="251"/>
      <c r="CV65" s="251"/>
      <c r="CW65" s="251"/>
      <c r="CX65" s="251"/>
      <c r="CY65" s="251"/>
      <c r="CZ65" s="251"/>
      <c r="DA65" s="251"/>
      <c r="DB65" s="251"/>
      <c r="DC65" s="251"/>
      <c r="DD65" s="251"/>
      <c r="DE65" s="251"/>
      <c r="DF65" s="251"/>
      <c r="DG65" s="251"/>
      <c r="DH65" s="251"/>
      <c r="DI65" s="251"/>
      <c r="DJ65" s="251"/>
      <c r="DK65" s="251"/>
      <c r="DL65" s="251"/>
      <c r="DM65" s="251"/>
      <c r="DN65" s="251"/>
      <c r="DO65" s="251"/>
      <c r="DP65" s="251"/>
      <c r="DQ65" s="251"/>
      <c r="DR65" s="251"/>
      <c r="DS65" s="251"/>
      <c r="DT65" s="251"/>
      <c r="DU65" s="251"/>
      <c r="DV65" s="251"/>
      <c r="DW65" s="251"/>
      <c r="DX65" s="251"/>
      <c r="DY65" s="251"/>
      <c r="DZ65" s="251"/>
      <c r="EA65" s="251"/>
      <c r="EB65" s="251"/>
      <c r="EC65" s="251"/>
      <c r="ED65" s="251"/>
      <c r="EE65" s="251"/>
      <c r="EF65" s="251"/>
      <c r="EG65" s="251"/>
      <c r="EH65" s="251"/>
      <c r="EI65" s="251"/>
      <c r="EJ65" s="251"/>
      <c r="EK65" s="251"/>
      <c r="EL65" s="251"/>
      <c r="EM65" s="251"/>
      <c r="EN65" s="251"/>
      <c r="EO65" s="251"/>
      <c r="EP65" s="251"/>
      <c r="EQ65" s="251"/>
      <c r="ER65" s="251"/>
      <c r="ES65" s="251"/>
      <c r="ET65" s="251"/>
      <c r="EU65" s="251"/>
      <c r="EV65" s="251"/>
      <c r="EW65" s="251"/>
      <c r="EX65" s="251"/>
      <c r="EY65" s="251"/>
      <c r="EZ65" s="251"/>
      <c r="FA65" s="251"/>
      <c r="FB65" s="251"/>
      <c r="FC65" s="251"/>
      <c r="FD65" s="251"/>
      <c r="FE65" s="251"/>
      <c r="FF65" s="251"/>
      <c r="FG65" s="251"/>
      <c r="FH65" s="251"/>
      <c r="FI65" s="251"/>
      <c r="FJ65" s="251"/>
      <c r="FK65" s="251"/>
      <c r="FL65" s="251"/>
      <c r="FM65" s="251"/>
      <c r="FN65" s="251"/>
      <c r="FO65" s="251"/>
      <c r="FP65" s="251"/>
      <c r="FQ65" s="251"/>
      <c r="FR65" s="251"/>
      <c r="FS65" s="251"/>
      <c r="FT65" s="251"/>
      <c r="FU65" s="251"/>
      <c r="FV65" s="251"/>
      <c r="FW65" s="251"/>
      <c r="FX65" s="251"/>
      <c r="FY65" s="251"/>
      <c r="FZ65" s="251"/>
      <c r="GA65" s="251"/>
      <c r="GB65" s="251"/>
      <c r="GC65" s="251"/>
      <c r="GD65" s="251"/>
      <c r="GE65" s="251"/>
      <c r="GF65" s="251"/>
      <c r="GG65" s="251"/>
    </row>
    <row r="66" spans="1:189" s="254" customFormat="1" ht="31.5" x14ac:dyDescent="0.25">
      <c r="A66" s="264" t="s">
        <v>464</v>
      </c>
      <c r="B66" s="260">
        <f t="shared" si="7"/>
        <v>3183</v>
      </c>
      <c r="C66" s="260">
        <f t="shared" si="7"/>
        <v>3183</v>
      </c>
      <c r="D66" s="260">
        <f t="shared" si="7"/>
        <v>0</v>
      </c>
      <c r="E66" s="260"/>
      <c r="F66" s="260"/>
      <c r="G66" s="260">
        <f t="shared" si="8"/>
        <v>0</v>
      </c>
      <c r="H66" s="260"/>
      <c r="I66" s="260"/>
      <c r="J66" s="260">
        <f t="shared" si="0"/>
        <v>0</v>
      </c>
      <c r="K66" s="260">
        <v>3183</v>
      </c>
      <c r="L66" s="260">
        <v>3183</v>
      </c>
      <c r="M66" s="260">
        <f t="shared" si="1"/>
        <v>0</v>
      </c>
      <c r="N66" s="260"/>
      <c r="O66" s="260"/>
      <c r="P66" s="260">
        <f t="shared" si="2"/>
        <v>0</v>
      </c>
      <c r="Q66" s="260"/>
      <c r="R66" s="260"/>
      <c r="S66" s="260">
        <f t="shared" si="3"/>
        <v>0</v>
      </c>
      <c r="T66" s="260">
        <v>0</v>
      </c>
      <c r="U66" s="260">
        <v>0</v>
      </c>
      <c r="V66" s="260">
        <f t="shared" si="4"/>
        <v>0</v>
      </c>
      <c r="W66" s="260">
        <v>0</v>
      </c>
      <c r="X66" s="260">
        <v>0</v>
      </c>
      <c r="Y66" s="260">
        <f t="shared" si="5"/>
        <v>0</v>
      </c>
      <c r="Z66" s="260"/>
      <c r="AA66" s="260"/>
      <c r="AB66" s="260">
        <f t="shared" si="6"/>
        <v>0</v>
      </c>
    </row>
    <row r="67" spans="1:189" s="254" customFormat="1" ht="31.5" x14ac:dyDescent="0.25">
      <c r="A67" s="264" t="s">
        <v>484</v>
      </c>
      <c r="B67" s="260">
        <f t="shared" si="7"/>
        <v>50400</v>
      </c>
      <c r="C67" s="260">
        <f t="shared" si="7"/>
        <v>50400</v>
      </c>
      <c r="D67" s="260">
        <f t="shared" si="7"/>
        <v>0</v>
      </c>
      <c r="E67" s="260"/>
      <c r="F67" s="260"/>
      <c r="G67" s="260">
        <f t="shared" si="8"/>
        <v>0</v>
      </c>
      <c r="H67" s="260"/>
      <c r="I67" s="260"/>
      <c r="J67" s="260">
        <f t="shared" si="0"/>
        <v>0</v>
      </c>
      <c r="K67" s="260">
        <v>50400</v>
      </c>
      <c r="L67" s="260">
        <v>50400</v>
      </c>
      <c r="M67" s="260">
        <f t="shared" si="1"/>
        <v>0</v>
      </c>
      <c r="N67" s="260"/>
      <c r="O67" s="260"/>
      <c r="P67" s="260">
        <f t="shared" si="2"/>
        <v>0</v>
      </c>
      <c r="Q67" s="260"/>
      <c r="R67" s="260"/>
      <c r="S67" s="260">
        <f t="shared" si="3"/>
        <v>0</v>
      </c>
      <c r="T67" s="260">
        <v>0</v>
      </c>
      <c r="U67" s="260">
        <v>0</v>
      </c>
      <c r="V67" s="260">
        <f t="shared" si="4"/>
        <v>0</v>
      </c>
      <c r="W67" s="260">
        <v>0</v>
      </c>
      <c r="X67" s="260">
        <v>0</v>
      </c>
      <c r="Y67" s="260">
        <f t="shared" si="5"/>
        <v>0</v>
      </c>
      <c r="Z67" s="260"/>
      <c r="AA67" s="260"/>
      <c r="AB67" s="260">
        <f t="shared" si="6"/>
        <v>0</v>
      </c>
    </row>
    <row r="68" spans="1:189" s="254" customFormat="1" x14ac:dyDescent="0.25">
      <c r="A68" s="264" t="s">
        <v>474</v>
      </c>
      <c r="B68" s="260">
        <f t="shared" si="7"/>
        <v>129666</v>
      </c>
      <c r="C68" s="260">
        <f t="shared" si="7"/>
        <v>129666</v>
      </c>
      <c r="D68" s="260">
        <f t="shared" si="7"/>
        <v>0</v>
      </c>
      <c r="E68" s="260"/>
      <c r="F68" s="260">
        <v>129666</v>
      </c>
      <c r="G68" s="260">
        <f t="shared" si="8"/>
        <v>129666</v>
      </c>
      <c r="H68" s="260"/>
      <c r="I68" s="260"/>
      <c r="J68" s="260">
        <f t="shared" si="0"/>
        <v>0</v>
      </c>
      <c r="K68" s="260">
        <v>129666</v>
      </c>
      <c r="L68" s="260">
        <f>129666-129666</f>
        <v>0</v>
      </c>
      <c r="M68" s="260">
        <f t="shared" si="1"/>
        <v>-129666</v>
      </c>
      <c r="N68" s="260"/>
      <c r="O68" s="260"/>
      <c r="P68" s="260">
        <f t="shared" si="2"/>
        <v>0</v>
      </c>
      <c r="Q68" s="260"/>
      <c r="R68" s="260"/>
      <c r="S68" s="260">
        <f t="shared" si="3"/>
        <v>0</v>
      </c>
      <c r="T68" s="260">
        <v>0</v>
      </c>
      <c r="U68" s="260">
        <v>0</v>
      </c>
      <c r="V68" s="260">
        <f t="shared" si="4"/>
        <v>0</v>
      </c>
      <c r="W68" s="260">
        <v>0</v>
      </c>
      <c r="X68" s="260">
        <v>0</v>
      </c>
      <c r="Y68" s="260">
        <f t="shared" si="5"/>
        <v>0</v>
      </c>
      <c r="Z68" s="260"/>
      <c r="AA68" s="260"/>
      <c r="AB68" s="260">
        <f t="shared" si="6"/>
        <v>0</v>
      </c>
    </row>
    <row r="69" spans="1:189" s="254" customFormat="1" x14ac:dyDescent="0.25">
      <c r="A69" s="264" t="s">
        <v>465</v>
      </c>
      <c r="B69" s="260">
        <f t="shared" si="7"/>
        <v>13200</v>
      </c>
      <c r="C69" s="260">
        <f t="shared" si="7"/>
        <v>13200</v>
      </c>
      <c r="D69" s="260">
        <f t="shared" si="7"/>
        <v>0</v>
      </c>
      <c r="E69" s="260"/>
      <c r="F69" s="260"/>
      <c r="G69" s="260">
        <f t="shared" si="8"/>
        <v>0</v>
      </c>
      <c r="H69" s="260"/>
      <c r="I69" s="260"/>
      <c r="J69" s="260">
        <f t="shared" si="0"/>
        <v>0</v>
      </c>
      <c r="K69" s="260">
        <v>13200</v>
      </c>
      <c r="L69" s="260">
        <v>13200</v>
      </c>
      <c r="M69" s="260">
        <f t="shared" si="1"/>
        <v>0</v>
      </c>
      <c r="N69" s="260"/>
      <c r="O69" s="260"/>
      <c r="P69" s="260">
        <f t="shared" si="2"/>
        <v>0</v>
      </c>
      <c r="Q69" s="260"/>
      <c r="R69" s="260"/>
      <c r="S69" s="260">
        <f t="shared" si="3"/>
        <v>0</v>
      </c>
      <c r="T69" s="260">
        <v>0</v>
      </c>
      <c r="U69" s="260">
        <v>0</v>
      </c>
      <c r="V69" s="260">
        <f t="shared" si="4"/>
        <v>0</v>
      </c>
      <c r="W69" s="260">
        <v>0</v>
      </c>
      <c r="X69" s="260">
        <v>0</v>
      </c>
      <c r="Y69" s="260">
        <f t="shared" si="5"/>
        <v>0</v>
      </c>
      <c r="Z69" s="260"/>
      <c r="AA69" s="260"/>
      <c r="AB69" s="260">
        <f t="shared" si="6"/>
        <v>0</v>
      </c>
    </row>
    <row r="70" spans="1:189" s="254" customFormat="1" ht="31.5" x14ac:dyDescent="0.25">
      <c r="A70" s="264" t="s">
        <v>434</v>
      </c>
      <c r="B70" s="260">
        <f t="shared" si="7"/>
        <v>41100</v>
      </c>
      <c r="C70" s="260">
        <f t="shared" si="7"/>
        <v>41100</v>
      </c>
      <c r="D70" s="260">
        <f t="shared" si="7"/>
        <v>0</v>
      </c>
      <c r="E70" s="260"/>
      <c r="F70" s="260"/>
      <c r="G70" s="260">
        <f t="shared" si="8"/>
        <v>0</v>
      </c>
      <c r="H70" s="260"/>
      <c r="I70" s="260"/>
      <c r="J70" s="260">
        <f t="shared" si="0"/>
        <v>0</v>
      </c>
      <c r="K70" s="260">
        <v>41100</v>
      </c>
      <c r="L70" s="260">
        <v>41100</v>
      </c>
      <c r="M70" s="260">
        <f t="shared" si="1"/>
        <v>0</v>
      </c>
      <c r="N70" s="260"/>
      <c r="O70" s="260"/>
      <c r="P70" s="260">
        <f t="shared" si="2"/>
        <v>0</v>
      </c>
      <c r="Q70" s="260"/>
      <c r="R70" s="260"/>
      <c r="S70" s="260">
        <f t="shared" si="3"/>
        <v>0</v>
      </c>
      <c r="T70" s="260">
        <v>0</v>
      </c>
      <c r="U70" s="260">
        <v>0</v>
      </c>
      <c r="V70" s="260">
        <f t="shared" si="4"/>
        <v>0</v>
      </c>
      <c r="W70" s="260">
        <v>0</v>
      </c>
      <c r="X70" s="260">
        <v>0</v>
      </c>
      <c r="Y70" s="260">
        <f t="shared" si="5"/>
        <v>0</v>
      </c>
      <c r="Z70" s="260"/>
      <c r="AA70" s="260"/>
      <c r="AB70" s="260">
        <f t="shared" si="6"/>
        <v>0</v>
      </c>
    </row>
    <row r="71" spans="1:189" s="254" customFormat="1" ht="110.25" x14ac:dyDescent="0.25">
      <c r="A71" s="261" t="s">
        <v>430</v>
      </c>
      <c r="B71" s="260">
        <f t="shared" si="7"/>
        <v>230380</v>
      </c>
      <c r="C71" s="260">
        <f t="shared" si="7"/>
        <v>230380</v>
      </c>
      <c r="D71" s="260">
        <f t="shared" si="7"/>
        <v>0</v>
      </c>
      <c r="E71" s="260"/>
      <c r="F71" s="260"/>
      <c r="G71" s="260">
        <f t="shared" si="8"/>
        <v>0</v>
      </c>
      <c r="H71" s="260"/>
      <c r="I71" s="260"/>
      <c r="J71" s="260">
        <f t="shared" si="0"/>
        <v>0</v>
      </c>
      <c r="K71" s="260"/>
      <c r="L71" s="260"/>
      <c r="M71" s="260">
        <f t="shared" si="1"/>
        <v>0</v>
      </c>
      <c r="N71" s="260">
        <v>230380</v>
      </c>
      <c r="O71" s="260">
        <v>230380</v>
      </c>
      <c r="P71" s="260">
        <f t="shared" si="2"/>
        <v>0</v>
      </c>
      <c r="Q71" s="260"/>
      <c r="R71" s="260"/>
      <c r="S71" s="260">
        <f t="shared" si="3"/>
        <v>0</v>
      </c>
      <c r="T71" s="260"/>
      <c r="U71" s="260"/>
      <c r="V71" s="260">
        <f t="shared" si="4"/>
        <v>0</v>
      </c>
      <c r="W71" s="260"/>
      <c r="X71" s="260"/>
      <c r="Y71" s="260">
        <f t="shared" si="5"/>
        <v>0</v>
      </c>
      <c r="Z71" s="260"/>
      <c r="AA71" s="260"/>
      <c r="AB71" s="260">
        <f t="shared" si="6"/>
        <v>0</v>
      </c>
    </row>
    <row r="72" spans="1:189" s="254" customFormat="1" x14ac:dyDescent="0.25">
      <c r="A72" s="264" t="s">
        <v>43</v>
      </c>
      <c r="B72" s="260">
        <f t="shared" si="7"/>
        <v>132389</v>
      </c>
      <c r="C72" s="260">
        <f t="shared" si="7"/>
        <v>132389</v>
      </c>
      <c r="D72" s="260">
        <f t="shared" si="7"/>
        <v>0</v>
      </c>
      <c r="E72" s="260">
        <f>150000-17611</f>
        <v>132389</v>
      </c>
      <c r="F72" s="260">
        <f>150000-17611</f>
        <v>132389</v>
      </c>
      <c r="G72" s="260">
        <f t="shared" si="8"/>
        <v>0</v>
      </c>
      <c r="H72" s="260"/>
      <c r="I72" s="260"/>
      <c r="J72" s="260">
        <f t="shared" si="0"/>
        <v>0</v>
      </c>
      <c r="K72" s="260"/>
      <c r="L72" s="260"/>
      <c r="M72" s="260">
        <f t="shared" si="1"/>
        <v>0</v>
      </c>
      <c r="N72" s="260"/>
      <c r="O72" s="260"/>
      <c r="P72" s="260">
        <f t="shared" si="2"/>
        <v>0</v>
      </c>
      <c r="Q72" s="260"/>
      <c r="R72" s="260"/>
      <c r="S72" s="260">
        <f t="shared" si="3"/>
        <v>0</v>
      </c>
      <c r="T72" s="260"/>
      <c r="U72" s="260"/>
      <c r="V72" s="260">
        <f t="shared" si="4"/>
        <v>0</v>
      </c>
      <c r="W72" s="260"/>
      <c r="X72" s="260"/>
      <c r="Y72" s="260">
        <f t="shared" si="5"/>
        <v>0</v>
      </c>
      <c r="Z72" s="260"/>
      <c r="AA72" s="260"/>
      <c r="AB72" s="260">
        <f t="shared" si="6"/>
        <v>0</v>
      </c>
    </row>
    <row r="73" spans="1:189" s="254" customFormat="1" ht="47.25" x14ac:dyDescent="0.25">
      <c r="A73" s="259" t="s">
        <v>44</v>
      </c>
      <c r="B73" s="260">
        <f t="shared" si="7"/>
        <v>2534</v>
      </c>
      <c r="C73" s="260">
        <f t="shared" si="7"/>
        <v>2534</v>
      </c>
      <c r="D73" s="260">
        <f t="shared" si="7"/>
        <v>0</v>
      </c>
      <c r="E73" s="260"/>
      <c r="F73" s="260"/>
      <c r="G73" s="260">
        <f t="shared" si="8"/>
        <v>0</v>
      </c>
      <c r="H73" s="260"/>
      <c r="I73" s="260"/>
      <c r="J73" s="260">
        <f t="shared" ref="J73:J156" si="80">I73-H73</f>
        <v>0</v>
      </c>
      <c r="K73" s="260"/>
      <c r="L73" s="260"/>
      <c r="M73" s="260">
        <f t="shared" ref="M73:M156" si="81">L73-K73</f>
        <v>0</v>
      </c>
      <c r="N73" s="260"/>
      <c r="O73" s="260"/>
      <c r="P73" s="260">
        <f t="shared" ref="P73:P156" si="82">O73-N73</f>
        <v>0</v>
      </c>
      <c r="Q73" s="260"/>
      <c r="R73" s="260"/>
      <c r="S73" s="260">
        <f t="shared" ref="S73:S156" si="83">R73-Q73</f>
        <v>0</v>
      </c>
      <c r="T73" s="260">
        <v>2534</v>
      </c>
      <c r="U73" s="260">
        <v>2534</v>
      </c>
      <c r="V73" s="260">
        <f t="shared" ref="V73:V156" si="84">U73-T73</f>
        <v>0</v>
      </c>
      <c r="W73" s="260"/>
      <c r="X73" s="260"/>
      <c r="Y73" s="260">
        <f t="shared" ref="Y73:Y156" si="85">X73-W73</f>
        <v>0</v>
      </c>
      <c r="Z73" s="260"/>
      <c r="AA73" s="260"/>
      <c r="AB73" s="260">
        <f t="shared" ref="AB73:AB156" si="86">AA73-Z73</f>
        <v>0</v>
      </c>
    </row>
    <row r="74" spans="1:189" s="254" customFormat="1" ht="157.5" x14ac:dyDescent="0.25">
      <c r="A74" s="256" t="s">
        <v>45</v>
      </c>
      <c r="B74" s="260">
        <f t="shared" si="7"/>
        <v>4247463</v>
      </c>
      <c r="C74" s="260">
        <f t="shared" si="7"/>
        <v>4247463</v>
      </c>
      <c r="D74" s="260">
        <f t="shared" si="7"/>
        <v>0</v>
      </c>
      <c r="E74" s="260"/>
      <c r="F74" s="260"/>
      <c r="G74" s="260">
        <f t="shared" si="8"/>
        <v>0</v>
      </c>
      <c r="H74" s="260"/>
      <c r="I74" s="260"/>
      <c r="J74" s="260">
        <f t="shared" si="80"/>
        <v>0</v>
      </c>
      <c r="K74" s="260"/>
      <c r="L74" s="260"/>
      <c r="M74" s="260">
        <f t="shared" si="81"/>
        <v>0</v>
      </c>
      <c r="N74" s="260">
        <v>4247463</v>
      </c>
      <c r="O74" s="260">
        <v>4247463</v>
      </c>
      <c r="P74" s="260">
        <f t="shared" si="82"/>
        <v>0</v>
      </c>
      <c r="Q74" s="260"/>
      <c r="R74" s="260"/>
      <c r="S74" s="260">
        <f t="shared" si="83"/>
        <v>0</v>
      </c>
      <c r="T74" s="260"/>
      <c r="U74" s="260"/>
      <c r="V74" s="260">
        <f t="shared" si="84"/>
        <v>0</v>
      </c>
      <c r="W74" s="260"/>
      <c r="X74" s="260"/>
      <c r="Y74" s="260">
        <f t="shared" si="85"/>
        <v>0</v>
      </c>
      <c r="Z74" s="260"/>
      <c r="AA74" s="260"/>
      <c r="AB74" s="260">
        <f t="shared" si="86"/>
        <v>0</v>
      </c>
    </row>
    <row r="75" spans="1:189" s="254" customFormat="1" ht="31.5" x14ac:dyDescent="0.25">
      <c r="A75" s="265" t="s">
        <v>424</v>
      </c>
      <c r="B75" s="260">
        <f t="shared" si="7"/>
        <v>918868</v>
      </c>
      <c r="C75" s="260">
        <f t="shared" si="7"/>
        <v>876438</v>
      </c>
      <c r="D75" s="260">
        <f t="shared" si="7"/>
        <v>-42430</v>
      </c>
      <c r="E75" s="260"/>
      <c r="F75" s="260"/>
      <c r="G75" s="260">
        <f t="shared" si="8"/>
        <v>0</v>
      </c>
      <c r="H75" s="260"/>
      <c r="I75" s="260"/>
      <c r="J75" s="260">
        <f t="shared" si="80"/>
        <v>0</v>
      </c>
      <c r="K75" s="260">
        <v>553628</v>
      </c>
      <c r="L75" s="260">
        <f>553628-485624-63930+21500-5</f>
        <v>25569</v>
      </c>
      <c r="M75" s="260">
        <f t="shared" si="81"/>
        <v>-528059</v>
      </c>
      <c r="N75" s="260"/>
      <c r="O75" s="260"/>
      <c r="P75" s="260">
        <f t="shared" si="82"/>
        <v>0</v>
      </c>
      <c r="Q75" s="260"/>
      <c r="R75" s="260"/>
      <c r="S75" s="260">
        <f t="shared" si="83"/>
        <v>0</v>
      </c>
      <c r="T75" s="260">
        <v>326372</v>
      </c>
      <c r="U75" s="260">
        <f>326372+5</f>
        <v>326377</v>
      </c>
      <c r="V75" s="260">
        <f t="shared" si="84"/>
        <v>5</v>
      </c>
      <c r="W75" s="260">
        <v>38868</v>
      </c>
      <c r="X75" s="260">
        <f>38868+485624</f>
        <v>524492</v>
      </c>
      <c r="Y75" s="260">
        <f t="shared" si="85"/>
        <v>485624</v>
      </c>
      <c r="Z75" s="260"/>
      <c r="AA75" s="260"/>
      <c r="AB75" s="260">
        <f t="shared" si="86"/>
        <v>0</v>
      </c>
    </row>
    <row r="76" spans="1:189" s="254" customFormat="1" x14ac:dyDescent="0.25">
      <c r="A76" s="265" t="s">
        <v>46</v>
      </c>
      <c r="B76" s="260">
        <f t="shared" si="7"/>
        <v>3000</v>
      </c>
      <c r="C76" s="260">
        <f t="shared" si="7"/>
        <v>3000</v>
      </c>
      <c r="D76" s="260">
        <f t="shared" si="7"/>
        <v>0</v>
      </c>
      <c r="E76" s="260"/>
      <c r="F76" s="260"/>
      <c r="G76" s="260">
        <f t="shared" si="8"/>
        <v>0</v>
      </c>
      <c r="H76" s="260"/>
      <c r="I76" s="260"/>
      <c r="J76" s="260">
        <f t="shared" si="80"/>
        <v>0</v>
      </c>
      <c r="K76" s="260">
        <v>3000</v>
      </c>
      <c r="L76" s="260">
        <v>3000</v>
      </c>
      <c r="M76" s="260">
        <f t="shared" si="81"/>
        <v>0</v>
      </c>
      <c r="N76" s="260"/>
      <c r="O76" s="260"/>
      <c r="P76" s="260">
        <f t="shared" si="82"/>
        <v>0</v>
      </c>
      <c r="Q76" s="260"/>
      <c r="R76" s="260"/>
      <c r="S76" s="260">
        <f t="shared" si="83"/>
        <v>0</v>
      </c>
      <c r="T76" s="260"/>
      <c r="U76" s="260"/>
      <c r="V76" s="260">
        <f t="shared" si="84"/>
        <v>0</v>
      </c>
      <c r="W76" s="260"/>
      <c r="X76" s="260"/>
      <c r="Y76" s="260">
        <f t="shared" si="85"/>
        <v>0</v>
      </c>
      <c r="Z76" s="260"/>
      <c r="AA76" s="260"/>
      <c r="AB76" s="260">
        <f t="shared" si="86"/>
        <v>0</v>
      </c>
    </row>
    <row r="77" spans="1:189" s="254" customFormat="1" ht="31.5" x14ac:dyDescent="0.25">
      <c r="A77" s="259" t="s">
        <v>47</v>
      </c>
      <c r="B77" s="260">
        <f t="shared" si="7"/>
        <v>50000</v>
      </c>
      <c r="C77" s="260">
        <f t="shared" si="7"/>
        <v>50000</v>
      </c>
      <c r="D77" s="260">
        <f t="shared" si="7"/>
        <v>0</v>
      </c>
      <c r="E77" s="260">
        <v>18700</v>
      </c>
      <c r="F77" s="260">
        <v>18700</v>
      </c>
      <c r="G77" s="260">
        <f t="shared" si="8"/>
        <v>0</v>
      </c>
      <c r="H77" s="260"/>
      <c r="I77" s="260"/>
      <c r="J77" s="260">
        <f t="shared" si="80"/>
        <v>0</v>
      </c>
      <c r="K77" s="260"/>
      <c r="L77" s="260"/>
      <c r="M77" s="260">
        <f t="shared" si="81"/>
        <v>0</v>
      </c>
      <c r="N77" s="260"/>
      <c r="O77" s="260"/>
      <c r="P77" s="260">
        <f t="shared" si="82"/>
        <v>0</v>
      </c>
      <c r="Q77" s="260"/>
      <c r="R77" s="260"/>
      <c r="S77" s="260">
        <f t="shared" si="83"/>
        <v>0</v>
      </c>
      <c r="T77" s="260">
        <f>10904+20396</f>
        <v>31300</v>
      </c>
      <c r="U77" s="260">
        <f>10904+20396</f>
        <v>31300</v>
      </c>
      <c r="V77" s="260">
        <f t="shared" si="84"/>
        <v>0</v>
      </c>
      <c r="W77" s="260"/>
      <c r="X77" s="260"/>
      <c r="Y77" s="260">
        <f t="shared" si="85"/>
        <v>0</v>
      </c>
      <c r="Z77" s="260"/>
      <c r="AA77" s="260"/>
      <c r="AB77" s="260">
        <f t="shared" si="86"/>
        <v>0</v>
      </c>
    </row>
    <row r="78" spans="1:189" s="254" customFormat="1" ht="47.25" x14ac:dyDescent="0.25">
      <c r="A78" s="259" t="s">
        <v>48</v>
      </c>
      <c r="B78" s="260">
        <f t="shared" si="7"/>
        <v>3850000</v>
      </c>
      <c r="C78" s="260">
        <f t="shared" si="7"/>
        <v>3850000</v>
      </c>
      <c r="D78" s="260">
        <f t="shared" si="7"/>
        <v>0</v>
      </c>
      <c r="E78" s="260"/>
      <c r="F78" s="260"/>
      <c r="G78" s="260">
        <f t="shared" si="8"/>
        <v>0</v>
      </c>
      <c r="H78" s="260"/>
      <c r="I78" s="260"/>
      <c r="J78" s="260">
        <f t="shared" si="80"/>
        <v>0</v>
      </c>
      <c r="K78" s="260"/>
      <c r="L78" s="260"/>
      <c r="M78" s="260">
        <f t="shared" si="81"/>
        <v>0</v>
      </c>
      <c r="N78" s="260"/>
      <c r="O78" s="260"/>
      <c r="P78" s="260">
        <f t="shared" si="82"/>
        <v>0</v>
      </c>
      <c r="Q78" s="260"/>
      <c r="R78" s="260"/>
      <c r="S78" s="260">
        <f t="shared" si="83"/>
        <v>0</v>
      </c>
      <c r="T78" s="260">
        <v>3850000</v>
      </c>
      <c r="U78" s="260">
        <v>3850000</v>
      </c>
      <c r="V78" s="260">
        <f t="shared" si="84"/>
        <v>0</v>
      </c>
      <c r="W78" s="260"/>
      <c r="X78" s="260"/>
      <c r="Y78" s="260">
        <f t="shared" si="85"/>
        <v>0</v>
      </c>
      <c r="Z78" s="260"/>
      <c r="AA78" s="260"/>
      <c r="AB78" s="260">
        <f t="shared" si="86"/>
        <v>0</v>
      </c>
    </row>
    <row r="79" spans="1:189" s="251" customFormat="1" ht="47.25" x14ac:dyDescent="0.25">
      <c r="A79" s="266" t="s">
        <v>49</v>
      </c>
      <c r="B79" s="253">
        <f t="shared" si="7"/>
        <v>488213</v>
      </c>
      <c r="C79" s="253">
        <f t="shared" si="7"/>
        <v>585135</v>
      </c>
      <c r="D79" s="253">
        <f t="shared" si="7"/>
        <v>96922</v>
      </c>
      <c r="E79" s="253">
        <f t="shared" ref="E79" si="87">SUM(E80:E115)</f>
        <v>0</v>
      </c>
      <c r="F79" s="253">
        <f t="shared" ref="F79:AA79" si="88">SUM(F80:F115)</f>
        <v>0</v>
      </c>
      <c r="G79" s="253">
        <f t="shared" si="8"/>
        <v>0</v>
      </c>
      <c r="H79" s="253">
        <f t="shared" ref="H79" si="89">SUM(H80:H115)</f>
        <v>149762</v>
      </c>
      <c r="I79" s="253">
        <f t="shared" si="88"/>
        <v>246684</v>
      </c>
      <c r="J79" s="253">
        <f t="shared" si="80"/>
        <v>96922</v>
      </c>
      <c r="K79" s="253">
        <f t="shared" ref="K79" si="90">SUM(K80:K115)</f>
        <v>338451</v>
      </c>
      <c r="L79" s="253">
        <f t="shared" si="88"/>
        <v>338451</v>
      </c>
      <c r="M79" s="253">
        <f t="shared" si="81"/>
        <v>0</v>
      </c>
      <c r="N79" s="253">
        <f t="shared" ref="N79" si="91">SUM(N80:N115)</f>
        <v>0</v>
      </c>
      <c r="O79" s="253">
        <f t="shared" si="88"/>
        <v>0</v>
      </c>
      <c r="P79" s="253">
        <f t="shared" si="82"/>
        <v>0</v>
      </c>
      <c r="Q79" s="253">
        <f t="shared" ref="Q79" si="92">SUM(Q80:Q115)</f>
        <v>0</v>
      </c>
      <c r="R79" s="253">
        <f t="shared" si="88"/>
        <v>0</v>
      </c>
      <c r="S79" s="253">
        <f t="shared" si="83"/>
        <v>0</v>
      </c>
      <c r="T79" s="253">
        <f t="shared" ref="T79" si="93">SUM(T80:T115)</f>
        <v>0</v>
      </c>
      <c r="U79" s="253">
        <f t="shared" si="88"/>
        <v>0</v>
      </c>
      <c r="V79" s="253">
        <f t="shared" si="84"/>
        <v>0</v>
      </c>
      <c r="W79" s="253">
        <f t="shared" ref="W79" si="94">SUM(W80:W115)</f>
        <v>0</v>
      </c>
      <c r="X79" s="253">
        <f t="shared" si="88"/>
        <v>0</v>
      </c>
      <c r="Y79" s="253">
        <f t="shared" si="85"/>
        <v>0</v>
      </c>
      <c r="Z79" s="253">
        <f t="shared" ref="Z79" si="95">SUM(Z80:Z115)</f>
        <v>0</v>
      </c>
      <c r="AA79" s="253">
        <f t="shared" si="88"/>
        <v>0</v>
      </c>
      <c r="AB79" s="253">
        <f t="shared" si="86"/>
        <v>0</v>
      </c>
    </row>
    <row r="80" spans="1:189" s="254" customFormat="1" ht="31.5" x14ac:dyDescent="0.25">
      <c r="A80" s="267" t="s">
        <v>50</v>
      </c>
      <c r="B80" s="260">
        <f t="shared" si="7"/>
        <v>57171</v>
      </c>
      <c r="C80" s="260">
        <f t="shared" si="7"/>
        <v>57171</v>
      </c>
      <c r="D80" s="260">
        <f t="shared" si="7"/>
        <v>0</v>
      </c>
      <c r="E80" s="260"/>
      <c r="F80" s="260"/>
      <c r="G80" s="260">
        <f t="shared" si="8"/>
        <v>0</v>
      </c>
      <c r="H80" s="260">
        <f>41161</f>
        <v>41161</v>
      </c>
      <c r="I80" s="260">
        <f>41161</f>
        <v>41161</v>
      </c>
      <c r="J80" s="260">
        <f t="shared" si="80"/>
        <v>0</v>
      </c>
      <c r="K80" s="260">
        <f>5010+11000</f>
        <v>16010</v>
      </c>
      <c r="L80" s="260">
        <f>5010+11000</f>
        <v>16010</v>
      </c>
      <c r="M80" s="260">
        <f t="shared" si="81"/>
        <v>0</v>
      </c>
      <c r="N80" s="260"/>
      <c r="O80" s="260"/>
      <c r="P80" s="260">
        <f t="shared" si="82"/>
        <v>0</v>
      </c>
      <c r="Q80" s="260"/>
      <c r="R80" s="260"/>
      <c r="S80" s="260">
        <f t="shared" si="83"/>
        <v>0</v>
      </c>
      <c r="T80" s="260"/>
      <c r="U80" s="260"/>
      <c r="V80" s="260">
        <f t="shared" si="84"/>
        <v>0</v>
      </c>
      <c r="W80" s="260"/>
      <c r="X80" s="260"/>
      <c r="Y80" s="260">
        <f t="shared" si="85"/>
        <v>0</v>
      </c>
      <c r="Z80" s="260"/>
      <c r="AA80" s="260"/>
      <c r="AB80" s="260">
        <f t="shared" si="86"/>
        <v>0</v>
      </c>
    </row>
    <row r="81" spans="1:28" s="254" customFormat="1" x14ac:dyDescent="0.25">
      <c r="A81" s="267" t="s">
        <v>51</v>
      </c>
      <c r="B81" s="260">
        <f t="shared" si="7"/>
        <v>11000</v>
      </c>
      <c r="C81" s="260">
        <f t="shared" si="7"/>
        <v>11000</v>
      </c>
      <c r="D81" s="260">
        <f t="shared" si="7"/>
        <v>0</v>
      </c>
      <c r="E81" s="260"/>
      <c r="F81" s="260"/>
      <c r="G81" s="260">
        <f t="shared" si="8"/>
        <v>0</v>
      </c>
      <c r="H81" s="260"/>
      <c r="I81" s="260"/>
      <c r="J81" s="260">
        <f t="shared" si="80"/>
        <v>0</v>
      </c>
      <c r="K81" s="260">
        <v>11000</v>
      </c>
      <c r="L81" s="260">
        <v>11000</v>
      </c>
      <c r="M81" s="260">
        <f t="shared" si="81"/>
        <v>0</v>
      </c>
      <c r="N81" s="260"/>
      <c r="O81" s="260"/>
      <c r="P81" s="260">
        <f t="shared" si="82"/>
        <v>0</v>
      </c>
      <c r="Q81" s="260"/>
      <c r="R81" s="260"/>
      <c r="S81" s="260">
        <f t="shared" si="83"/>
        <v>0</v>
      </c>
      <c r="T81" s="260"/>
      <c r="U81" s="260"/>
      <c r="V81" s="260">
        <f t="shared" si="84"/>
        <v>0</v>
      </c>
      <c r="W81" s="260"/>
      <c r="X81" s="260"/>
      <c r="Y81" s="260">
        <f t="shared" si="85"/>
        <v>0</v>
      </c>
      <c r="Z81" s="260"/>
      <c r="AA81" s="260"/>
      <c r="AB81" s="260">
        <f t="shared" si="86"/>
        <v>0</v>
      </c>
    </row>
    <row r="82" spans="1:28" s="254" customFormat="1" ht="31.5" x14ac:dyDescent="0.25">
      <c r="A82" s="267" t="s">
        <v>232</v>
      </c>
      <c r="B82" s="260">
        <f t="shared" si="7"/>
        <v>35001</v>
      </c>
      <c r="C82" s="260">
        <f t="shared" si="7"/>
        <v>35001</v>
      </c>
      <c r="D82" s="260">
        <f t="shared" si="7"/>
        <v>0</v>
      </c>
      <c r="E82" s="260"/>
      <c r="F82" s="260"/>
      <c r="G82" s="260">
        <f t="shared" si="8"/>
        <v>0</v>
      </c>
      <c r="H82" s="260">
        <f>4780+25712</f>
        <v>30492</v>
      </c>
      <c r="I82" s="260">
        <f>4780+25712</f>
        <v>30492</v>
      </c>
      <c r="J82" s="260">
        <f t="shared" si="80"/>
        <v>0</v>
      </c>
      <c r="K82" s="260">
        <f>4773+11000-13264+2000</f>
        <v>4509</v>
      </c>
      <c r="L82" s="260">
        <f>4773+11000-13264+2000</f>
        <v>4509</v>
      </c>
      <c r="M82" s="260">
        <f t="shared" si="81"/>
        <v>0</v>
      </c>
      <c r="N82" s="260"/>
      <c r="O82" s="260"/>
      <c r="P82" s="260">
        <f t="shared" si="82"/>
        <v>0</v>
      </c>
      <c r="Q82" s="260"/>
      <c r="R82" s="260"/>
      <c r="S82" s="260">
        <f t="shared" si="83"/>
        <v>0</v>
      </c>
      <c r="T82" s="260"/>
      <c r="U82" s="260"/>
      <c r="V82" s="260">
        <f t="shared" si="84"/>
        <v>0</v>
      </c>
      <c r="W82" s="260"/>
      <c r="X82" s="260"/>
      <c r="Y82" s="260">
        <f t="shared" si="85"/>
        <v>0</v>
      </c>
      <c r="Z82" s="260"/>
      <c r="AA82" s="260"/>
      <c r="AB82" s="260">
        <f t="shared" si="86"/>
        <v>0</v>
      </c>
    </row>
    <row r="83" spans="1:28" s="254" customFormat="1" x14ac:dyDescent="0.25">
      <c r="A83" s="267" t="s">
        <v>52</v>
      </c>
      <c r="B83" s="260">
        <f t="shared" si="7"/>
        <v>4000</v>
      </c>
      <c r="C83" s="260">
        <f t="shared" si="7"/>
        <v>4000</v>
      </c>
      <c r="D83" s="260">
        <f t="shared" si="7"/>
        <v>0</v>
      </c>
      <c r="E83" s="260"/>
      <c r="F83" s="260"/>
      <c r="G83" s="260">
        <f t="shared" si="8"/>
        <v>0</v>
      </c>
      <c r="H83" s="260"/>
      <c r="I83" s="260"/>
      <c r="J83" s="260">
        <f t="shared" si="80"/>
        <v>0</v>
      </c>
      <c r="K83" s="260">
        <v>4000</v>
      </c>
      <c r="L83" s="260">
        <v>4000</v>
      </c>
      <c r="M83" s="260">
        <f t="shared" si="81"/>
        <v>0</v>
      </c>
      <c r="N83" s="260"/>
      <c r="O83" s="260"/>
      <c r="P83" s="260">
        <f t="shared" si="82"/>
        <v>0</v>
      </c>
      <c r="Q83" s="260"/>
      <c r="R83" s="260"/>
      <c r="S83" s="260">
        <f t="shared" si="83"/>
        <v>0</v>
      </c>
      <c r="T83" s="260"/>
      <c r="U83" s="260"/>
      <c r="V83" s="260">
        <f t="shared" si="84"/>
        <v>0</v>
      </c>
      <c r="W83" s="260"/>
      <c r="X83" s="260"/>
      <c r="Y83" s="260">
        <f t="shared" si="85"/>
        <v>0</v>
      </c>
      <c r="Z83" s="260"/>
      <c r="AA83" s="260"/>
      <c r="AB83" s="260">
        <f t="shared" si="86"/>
        <v>0</v>
      </c>
    </row>
    <row r="84" spans="1:28" s="254" customFormat="1" x14ac:dyDescent="0.25">
      <c r="A84" s="267" t="s">
        <v>53</v>
      </c>
      <c r="B84" s="260">
        <f t="shared" si="7"/>
        <v>5000</v>
      </c>
      <c r="C84" s="260">
        <f t="shared" si="7"/>
        <v>5000</v>
      </c>
      <c r="D84" s="260">
        <f t="shared" si="7"/>
        <v>0</v>
      </c>
      <c r="E84" s="260"/>
      <c r="F84" s="260"/>
      <c r="G84" s="260">
        <f t="shared" si="8"/>
        <v>0</v>
      </c>
      <c r="H84" s="260"/>
      <c r="I84" s="260"/>
      <c r="J84" s="260">
        <f t="shared" si="80"/>
        <v>0</v>
      </c>
      <c r="K84" s="260">
        <v>5000</v>
      </c>
      <c r="L84" s="260">
        <v>5000</v>
      </c>
      <c r="M84" s="260">
        <f t="shared" si="81"/>
        <v>0</v>
      </c>
      <c r="N84" s="260"/>
      <c r="O84" s="260"/>
      <c r="P84" s="260">
        <f t="shared" si="82"/>
        <v>0</v>
      </c>
      <c r="Q84" s="260"/>
      <c r="R84" s="260"/>
      <c r="S84" s="260">
        <f t="shared" si="83"/>
        <v>0</v>
      </c>
      <c r="T84" s="260"/>
      <c r="U84" s="260"/>
      <c r="V84" s="260">
        <f t="shared" si="84"/>
        <v>0</v>
      </c>
      <c r="W84" s="260"/>
      <c r="X84" s="260"/>
      <c r="Y84" s="260">
        <f t="shared" si="85"/>
        <v>0</v>
      </c>
      <c r="Z84" s="260"/>
      <c r="AA84" s="260"/>
      <c r="AB84" s="260">
        <f t="shared" si="86"/>
        <v>0</v>
      </c>
    </row>
    <row r="85" spans="1:28" s="254" customFormat="1" x14ac:dyDescent="0.25">
      <c r="A85" s="267" t="s">
        <v>54</v>
      </c>
      <c r="B85" s="260">
        <f t="shared" ref="B85:D143" si="96">E85+H85+K85+N85+Q85+T85+Z85+W85</f>
        <v>4000</v>
      </c>
      <c r="C85" s="260">
        <f t="shared" si="96"/>
        <v>4000</v>
      </c>
      <c r="D85" s="260">
        <f t="shared" si="96"/>
        <v>0</v>
      </c>
      <c r="E85" s="260"/>
      <c r="F85" s="260"/>
      <c r="G85" s="260">
        <f t="shared" si="8"/>
        <v>0</v>
      </c>
      <c r="H85" s="260"/>
      <c r="I85" s="260"/>
      <c r="J85" s="260">
        <f t="shared" si="80"/>
        <v>0</v>
      </c>
      <c r="K85" s="260">
        <v>4000</v>
      </c>
      <c r="L85" s="260">
        <v>4000</v>
      </c>
      <c r="M85" s="260">
        <f t="shared" si="81"/>
        <v>0</v>
      </c>
      <c r="N85" s="260"/>
      <c r="O85" s="260"/>
      <c r="P85" s="260">
        <f t="shared" si="82"/>
        <v>0</v>
      </c>
      <c r="Q85" s="260"/>
      <c r="R85" s="260"/>
      <c r="S85" s="260">
        <f t="shared" si="83"/>
        <v>0</v>
      </c>
      <c r="T85" s="260"/>
      <c r="U85" s="260"/>
      <c r="V85" s="260">
        <f t="shared" si="84"/>
        <v>0</v>
      </c>
      <c r="W85" s="260"/>
      <c r="X85" s="260"/>
      <c r="Y85" s="260">
        <f t="shared" si="85"/>
        <v>0</v>
      </c>
      <c r="Z85" s="260"/>
      <c r="AA85" s="260"/>
      <c r="AB85" s="260">
        <f t="shared" si="86"/>
        <v>0</v>
      </c>
    </row>
    <row r="86" spans="1:28" s="254" customFormat="1" x14ac:dyDescent="0.25">
      <c r="A86" s="267" t="s">
        <v>55</v>
      </c>
      <c r="B86" s="260">
        <f t="shared" si="96"/>
        <v>7000</v>
      </c>
      <c r="C86" s="260">
        <f t="shared" si="96"/>
        <v>7000</v>
      </c>
      <c r="D86" s="260">
        <f t="shared" si="96"/>
        <v>0</v>
      </c>
      <c r="E86" s="260"/>
      <c r="F86" s="260"/>
      <c r="G86" s="260">
        <f t="shared" si="8"/>
        <v>0</v>
      </c>
      <c r="H86" s="260"/>
      <c r="I86" s="260"/>
      <c r="J86" s="260">
        <f t="shared" si="80"/>
        <v>0</v>
      </c>
      <c r="K86" s="260">
        <v>7000</v>
      </c>
      <c r="L86" s="260">
        <v>7000</v>
      </c>
      <c r="M86" s="260">
        <f t="shared" si="81"/>
        <v>0</v>
      </c>
      <c r="N86" s="260"/>
      <c r="O86" s="260"/>
      <c r="P86" s="260">
        <f t="shared" si="82"/>
        <v>0</v>
      </c>
      <c r="Q86" s="260"/>
      <c r="R86" s="260"/>
      <c r="S86" s="260">
        <f t="shared" si="83"/>
        <v>0</v>
      </c>
      <c r="T86" s="260"/>
      <c r="U86" s="260"/>
      <c r="V86" s="260">
        <f t="shared" si="84"/>
        <v>0</v>
      </c>
      <c r="W86" s="260"/>
      <c r="X86" s="260"/>
      <c r="Y86" s="260">
        <f t="shared" si="85"/>
        <v>0</v>
      </c>
      <c r="Z86" s="260"/>
      <c r="AA86" s="260"/>
      <c r="AB86" s="260">
        <f t="shared" si="86"/>
        <v>0</v>
      </c>
    </row>
    <row r="87" spans="1:28" s="254" customFormat="1" ht="31.5" x14ac:dyDescent="0.25">
      <c r="A87" s="267" t="s">
        <v>56</v>
      </c>
      <c r="B87" s="260">
        <f t="shared" si="96"/>
        <v>16398</v>
      </c>
      <c r="C87" s="260">
        <f t="shared" si="96"/>
        <v>16398</v>
      </c>
      <c r="D87" s="260">
        <f t="shared" si="96"/>
        <v>0</v>
      </c>
      <c r="E87" s="260"/>
      <c r="F87" s="260"/>
      <c r="G87" s="260">
        <f t="shared" si="8"/>
        <v>0</v>
      </c>
      <c r="H87" s="260">
        <v>8898</v>
      </c>
      <c r="I87" s="260">
        <v>8898</v>
      </c>
      <c r="J87" s="260">
        <f t="shared" si="80"/>
        <v>0</v>
      </c>
      <c r="K87" s="260">
        <v>7500</v>
      </c>
      <c r="L87" s="260">
        <v>7500</v>
      </c>
      <c r="M87" s="260">
        <f t="shared" si="81"/>
        <v>0</v>
      </c>
      <c r="N87" s="260"/>
      <c r="O87" s="260"/>
      <c r="P87" s="260">
        <f t="shared" si="82"/>
        <v>0</v>
      </c>
      <c r="Q87" s="260"/>
      <c r="R87" s="260"/>
      <c r="S87" s="260">
        <f t="shared" si="83"/>
        <v>0</v>
      </c>
      <c r="T87" s="260"/>
      <c r="U87" s="260"/>
      <c r="V87" s="260">
        <f t="shared" si="84"/>
        <v>0</v>
      </c>
      <c r="W87" s="260"/>
      <c r="X87" s="260"/>
      <c r="Y87" s="260">
        <f t="shared" si="85"/>
        <v>0</v>
      </c>
      <c r="Z87" s="260"/>
      <c r="AA87" s="260"/>
      <c r="AB87" s="260">
        <f t="shared" si="86"/>
        <v>0</v>
      </c>
    </row>
    <row r="88" spans="1:28" s="254" customFormat="1" x14ac:dyDescent="0.25">
      <c r="A88" s="267" t="s">
        <v>57</v>
      </c>
      <c r="B88" s="260">
        <f t="shared" si="96"/>
        <v>4000</v>
      </c>
      <c r="C88" s="260">
        <f t="shared" si="96"/>
        <v>4000</v>
      </c>
      <c r="D88" s="260">
        <f t="shared" si="96"/>
        <v>0</v>
      </c>
      <c r="E88" s="260"/>
      <c r="F88" s="260"/>
      <c r="G88" s="260">
        <f t="shared" si="8"/>
        <v>0</v>
      </c>
      <c r="H88" s="260"/>
      <c r="I88" s="260"/>
      <c r="J88" s="260">
        <f t="shared" si="80"/>
        <v>0</v>
      </c>
      <c r="K88" s="260">
        <v>4000</v>
      </c>
      <c r="L88" s="260">
        <v>4000</v>
      </c>
      <c r="M88" s="260">
        <f t="shared" si="81"/>
        <v>0</v>
      </c>
      <c r="N88" s="260"/>
      <c r="O88" s="260"/>
      <c r="P88" s="260">
        <f t="shared" si="82"/>
        <v>0</v>
      </c>
      <c r="Q88" s="260"/>
      <c r="R88" s="260"/>
      <c r="S88" s="260">
        <f t="shared" si="83"/>
        <v>0</v>
      </c>
      <c r="T88" s="260"/>
      <c r="U88" s="260"/>
      <c r="V88" s="260">
        <f t="shared" si="84"/>
        <v>0</v>
      </c>
      <c r="W88" s="260"/>
      <c r="X88" s="260"/>
      <c r="Y88" s="260">
        <f t="shared" si="85"/>
        <v>0</v>
      </c>
      <c r="Z88" s="260"/>
      <c r="AA88" s="260"/>
      <c r="AB88" s="260">
        <f t="shared" si="86"/>
        <v>0</v>
      </c>
    </row>
    <row r="89" spans="1:28" s="254" customFormat="1" ht="31.5" x14ac:dyDescent="0.25">
      <c r="A89" s="267" t="s">
        <v>58</v>
      </c>
      <c r="B89" s="260">
        <f t="shared" si="96"/>
        <v>23702</v>
      </c>
      <c r="C89" s="260">
        <f t="shared" si="96"/>
        <v>23702</v>
      </c>
      <c r="D89" s="260">
        <f t="shared" si="96"/>
        <v>0</v>
      </c>
      <c r="E89" s="260"/>
      <c r="F89" s="260"/>
      <c r="G89" s="260">
        <f t="shared" si="8"/>
        <v>0</v>
      </c>
      <c r="H89" s="260">
        <f>15702</f>
        <v>15702</v>
      </c>
      <c r="I89" s="260">
        <f>15702</f>
        <v>15702</v>
      </c>
      <c r="J89" s="260">
        <f t="shared" si="80"/>
        <v>0</v>
      </c>
      <c r="K89" s="260">
        <v>8000</v>
      </c>
      <c r="L89" s="260">
        <v>8000</v>
      </c>
      <c r="M89" s="260">
        <f t="shared" si="81"/>
        <v>0</v>
      </c>
      <c r="N89" s="260"/>
      <c r="O89" s="260"/>
      <c r="P89" s="260">
        <f t="shared" si="82"/>
        <v>0</v>
      </c>
      <c r="Q89" s="260"/>
      <c r="R89" s="260"/>
      <c r="S89" s="260">
        <f t="shared" si="83"/>
        <v>0</v>
      </c>
      <c r="T89" s="260"/>
      <c r="U89" s="260"/>
      <c r="V89" s="260">
        <f t="shared" si="84"/>
        <v>0</v>
      </c>
      <c r="W89" s="260"/>
      <c r="X89" s="260"/>
      <c r="Y89" s="260">
        <f t="shared" si="85"/>
        <v>0</v>
      </c>
      <c r="Z89" s="260"/>
      <c r="AA89" s="260"/>
      <c r="AB89" s="260">
        <f t="shared" si="86"/>
        <v>0</v>
      </c>
    </row>
    <row r="90" spans="1:28" s="254" customFormat="1" x14ac:dyDescent="0.25">
      <c r="A90" s="267" t="s">
        <v>59</v>
      </c>
      <c r="B90" s="260">
        <f t="shared" si="96"/>
        <v>11000</v>
      </c>
      <c r="C90" s="260">
        <f t="shared" si="96"/>
        <v>11000</v>
      </c>
      <c r="D90" s="260">
        <f t="shared" si="96"/>
        <v>0</v>
      </c>
      <c r="E90" s="260"/>
      <c r="F90" s="260"/>
      <c r="G90" s="260">
        <f t="shared" si="8"/>
        <v>0</v>
      </c>
      <c r="H90" s="260"/>
      <c r="I90" s="260"/>
      <c r="J90" s="260">
        <f t="shared" si="80"/>
        <v>0</v>
      </c>
      <c r="K90" s="260">
        <v>11000</v>
      </c>
      <c r="L90" s="260">
        <v>11000</v>
      </c>
      <c r="M90" s="260">
        <f t="shared" si="81"/>
        <v>0</v>
      </c>
      <c r="N90" s="260"/>
      <c r="O90" s="260"/>
      <c r="P90" s="260">
        <f t="shared" si="82"/>
        <v>0</v>
      </c>
      <c r="Q90" s="260"/>
      <c r="R90" s="260"/>
      <c r="S90" s="260">
        <f t="shared" si="83"/>
        <v>0</v>
      </c>
      <c r="T90" s="260"/>
      <c r="U90" s="260"/>
      <c r="V90" s="260">
        <f t="shared" si="84"/>
        <v>0</v>
      </c>
      <c r="W90" s="260"/>
      <c r="X90" s="260"/>
      <c r="Y90" s="260">
        <f t="shared" si="85"/>
        <v>0</v>
      </c>
      <c r="Z90" s="260"/>
      <c r="AA90" s="260"/>
      <c r="AB90" s="260">
        <f t="shared" si="86"/>
        <v>0</v>
      </c>
    </row>
    <row r="91" spans="1:28" s="254" customFormat="1" ht="31.5" x14ac:dyDescent="0.25">
      <c r="A91" s="267" t="s">
        <v>60</v>
      </c>
      <c r="B91" s="260">
        <f t="shared" si="96"/>
        <v>8697</v>
      </c>
      <c r="C91" s="260">
        <f t="shared" si="96"/>
        <v>8697</v>
      </c>
      <c r="D91" s="260">
        <f t="shared" si="96"/>
        <v>0</v>
      </c>
      <c r="E91" s="260"/>
      <c r="F91" s="260"/>
      <c r="G91" s="260">
        <f t="shared" si="8"/>
        <v>0</v>
      </c>
      <c r="H91" s="260"/>
      <c r="I91" s="260"/>
      <c r="J91" s="260">
        <f t="shared" si="80"/>
        <v>0</v>
      </c>
      <c r="K91" s="260">
        <f>197+8500</f>
        <v>8697</v>
      </c>
      <c r="L91" s="260">
        <f>197+8500</f>
        <v>8697</v>
      </c>
      <c r="M91" s="260">
        <f t="shared" si="81"/>
        <v>0</v>
      </c>
      <c r="N91" s="260"/>
      <c r="O91" s="260"/>
      <c r="P91" s="260">
        <f t="shared" si="82"/>
        <v>0</v>
      </c>
      <c r="Q91" s="260"/>
      <c r="R91" s="260"/>
      <c r="S91" s="260">
        <f t="shared" si="83"/>
        <v>0</v>
      </c>
      <c r="T91" s="260"/>
      <c r="U91" s="260"/>
      <c r="V91" s="260">
        <f t="shared" si="84"/>
        <v>0</v>
      </c>
      <c r="W91" s="260"/>
      <c r="X91" s="260"/>
      <c r="Y91" s="260">
        <f t="shared" si="85"/>
        <v>0</v>
      </c>
      <c r="Z91" s="260"/>
      <c r="AA91" s="260"/>
      <c r="AB91" s="260">
        <f t="shared" si="86"/>
        <v>0</v>
      </c>
    </row>
    <row r="92" spans="1:28" s="254" customFormat="1" x14ac:dyDescent="0.25">
      <c r="A92" s="267" t="s">
        <v>61</v>
      </c>
      <c r="B92" s="260">
        <f t="shared" si="96"/>
        <v>17000</v>
      </c>
      <c r="C92" s="260">
        <f t="shared" si="96"/>
        <v>17000</v>
      </c>
      <c r="D92" s="260">
        <f t="shared" si="96"/>
        <v>0</v>
      </c>
      <c r="E92" s="260"/>
      <c r="F92" s="260"/>
      <c r="G92" s="260">
        <f t="shared" si="8"/>
        <v>0</v>
      </c>
      <c r="H92" s="260">
        <v>8500</v>
      </c>
      <c r="I92" s="260">
        <v>8500</v>
      </c>
      <c r="J92" s="260">
        <f t="shared" si="80"/>
        <v>0</v>
      </c>
      <c r="K92" s="260">
        <v>8500</v>
      </c>
      <c r="L92" s="260">
        <v>8500</v>
      </c>
      <c r="M92" s="260">
        <f t="shared" si="81"/>
        <v>0</v>
      </c>
      <c r="N92" s="260"/>
      <c r="O92" s="260"/>
      <c r="P92" s="260">
        <f t="shared" si="82"/>
        <v>0</v>
      </c>
      <c r="Q92" s="260"/>
      <c r="R92" s="260"/>
      <c r="S92" s="260">
        <f t="shared" si="83"/>
        <v>0</v>
      </c>
      <c r="T92" s="260"/>
      <c r="U92" s="260"/>
      <c r="V92" s="260">
        <f t="shared" si="84"/>
        <v>0</v>
      </c>
      <c r="W92" s="260"/>
      <c r="X92" s="260"/>
      <c r="Y92" s="260">
        <f t="shared" si="85"/>
        <v>0</v>
      </c>
      <c r="Z92" s="260"/>
      <c r="AA92" s="260"/>
      <c r="AB92" s="260">
        <f t="shared" si="86"/>
        <v>0</v>
      </c>
    </row>
    <row r="93" spans="1:28" s="254" customFormat="1" x14ac:dyDescent="0.25">
      <c r="A93" s="267" t="s">
        <v>62</v>
      </c>
      <c r="B93" s="260">
        <f t="shared" si="96"/>
        <v>5500</v>
      </c>
      <c r="C93" s="260">
        <f t="shared" si="96"/>
        <v>5500</v>
      </c>
      <c r="D93" s="260">
        <f t="shared" si="96"/>
        <v>0</v>
      </c>
      <c r="E93" s="260"/>
      <c r="F93" s="260"/>
      <c r="G93" s="260">
        <f t="shared" si="8"/>
        <v>0</v>
      </c>
      <c r="H93" s="260"/>
      <c r="I93" s="260"/>
      <c r="J93" s="260">
        <f t="shared" si="80"/>
        <v>0</v>
      </c>
      <c r="K93" s="260">
        <v>5500</v>
      </c>
      <c r="L93" s="260">
        <v>5500</v>
      </c>
      <c r="M93" s="260">
        <f t="shared" si="81"/>
        <v>0</v>
      </c>
      <c r="N93" s="260"/>
      <c r="O93" s="260"/>
      <c r="P93" s="260">
        <f t="shared" si="82"/>
        <v>0</v>
      </c>
      <c r="Q93" s="260"/>
      <c r="R93" s="260"/>
      <c r="S93" s="260">
        <f t="shared" si="83"/>
        <v>0</v>
      </c>
      <c r="T93" s="260"/>
      <c r="U93" s="260"/>
      <c r="V93" s="260">
        <f t="shared" si="84"/>
        <v>0</v>
      </c>
      <c r="W93" s="260"/>
      <c r="X93" s="260"/>
      <c r="Y93" s="260">
        <f t="shared" si="85"/>
        <v>0</v>
      </c>
      <c r="Z93" s="260"/>
      <c r="AA93" s="260"/>
      <c r="AB93" s="260">
        <f t="shared" si="86"/>
        <v>0</v>
      </c>
    </row>
    <row r="94" spans="1:28" s="254" customFormat="1" x14ac:dyDescent="0.25">
      <c r="A94" s="267" t="s">
        <v>63</v>
      </c>
      <c r="B94" s="260">
        <f t="shared" si="96"/>
        <v>9000</v>
      </c>
      <c r="C94" s="260">
        <f t="shared" si="96"/>
        <v>9000</v>
      </c>
      <c r="D94" s="260">
        <f t="shared" si="96"/>
        <v>0</v>
      </c>
      <c r="E94" s="260"/>
      <c r="F94" s="260"/>
      <c r="G94" s="260">
        <f t="shared" si="8"/>
        <v>0</v>
      </c>
      <c r="H94" s="260"/>
      <c r="I94" s="260"/>
      <c r="J94" s="260">
        <f t="shared" si="80"/>
        <v>0</v>
      </c>
      <c r="K94" s="260">
        <v>9000</v>
      </c>
      <c r="L94" s="260">
        <v>9000</v>
      </c>
      <c r="M94" s="260">
        <f t="shared" si="81"/>
        <v>0</v>
      </c>
      <c r="N94" s="260"/>
      <c r="O94" s="260"/>
      <c r="P94" s="260">
        <f t="shared" si="82"/>
        <v>0</v>
      </c>
      <c r="Q94" s="260"/>
      <c r="R94" s="260"/>
      <c r="S94" s="260">
        <f t="shared" si="83"/>
        <v>0</v>
      </c>
      <c r="T94" s="260"/>
      <c r="U94" s="260"/>
      <c r="V94" s="260">
        <f t="shared" si="84"/>
        <v>0</v>
      </c>
      <c r="W94" s="260"/>
      <c r="X94" s="260"/>
      <c r="Y94" s="260">
        <f t="shared" si="85"/>
        <v>0</v>
      </c>
      <c r="Z94" s="260"/>
      <c r="AA94" s="260"/>
      <c r="AB94" s="260">
        <f t="shared" si="86"/>
        <v>0</v>
      </c>
    </row>
    <row r="95" spans="1:28" s="254" customFormat="1" ht="47.25" x14ac:dyDescent="0.25">
      <c r="A95" s="267" t="s">
        <v>64</v>
      </c>
      <c r="B95" s="260">
        <f t="shared" si="96"/>
        <v>41364</v>
      </c>
      <c r="C95" s="260">
        <f t="shared" si="96"/>
        <v>41364</v>
      </c>
      <c r="D95" s="260">
        <f t="shared" si="96"/>
        <v>0</v>
      </c>
      <c r="E95" s="260"/>
      <c r="F95" s="260"/>
      <c r="G95" s="260">
        <f t="shared" si="8"/>
        <v>0</v>
      </c>
      <c r="H95" s="260">
        <f>11000+19364</f>
        <v>30364</v>
      </c>
      <c r="I95" s="260">
        <f>11000+19364</f>
        <v>30364</v>
      </c>
      <c r="J95" s="260">
        <f t="shared" si="80"/>
        <v>0</v>
      </c>
      <c r="K95" s="260">
        <v>11000</v>
      </c>
      <c r="L95" s="260">
        <v>11000</v>
      </c>
      <c r="M95" s="260">
        <f t="shared" si="81"/>
        <v>0</v>
      </c>
      <c r="N95" s="260"/>
      <c r="O95" s="260"/>
      <c r="P95" s="260">
        <f t="shared" si="82"/>
        <v>0</v>
      </c>
      <c r="Q95" s="260"/>
      <c r="R95" s="260"/>
      <c r="S95" s="260">
        <f t="shared" si="83"/>
        <v>0</v>
      </c>
      <c r="T95" s="260"/>
      <c r="U95" s="260"/>
      <c r="V95" s="260">
        <f t="shared" si="84"/>
        <v>0</v>
      </c>
      <c r="W95" s="260"/>
      <c r="X95" s="260"/>
      <c r="Y95" s="260">
        <f t="shared" si="85"/>
        <v>0</v>
      </c>
      <c r="Z95" s="260"/>
      <c r="AA95" s="260"/>
      <c r="AB95" s="260">
        <f t="shared" si="86"/>
        <v>0</v>
      </c>
    </row>
    <row r="96" spans="1:28" s="254" customFormat="1" x14ac:dyDescent="0.25">
      <c r="A96" s="267" t="s">
        <v>65</v>
      </c>
      <c r="B96" s="260">
        <f t="shared" si="96"/>
        <v>8000</v>
      </c>
      <c r="C96" s="260">
        <f t="shared" si="96"/>
        <v>8000</v>
      </c>
      <c r="D96" s="260">
        <f t="shared" si="96"/>
        <v>0</v>
      </c>
      <c r="E96" s="260"/>
      <c r="F96" s="260"/>
      <c r="G96" s="260">
        <f t="shared" ref="G96:G231" si="97">F96-E96</f>
        <v>0</v>
      </c>
      <c r="H96" s="260"/>
      <c r="I96" s="260"/>
      <c r="J96" s="260">
        <f t="shared" si="80"/>
        <v>0</v>
      </c>
      <c r="K96" s="260">
        <v>8000</v>
      </c>
      <c r="L96" s="260">
        <v>8000</v>
      </c>
      <c r="M96" s="260">
        <f t="shared" si="81"/>
        <v>0</v>
      </c>
      <c r="N96" s="260"/>
      <c r="O96" s="260"/>
      <c r="P96" s="260">
        <f t="shared" si="82"/>
        <v>0</v>
      </c>
      <c r="Q96" s="260"/>
      <c r="R96" s="260"/>
      <c r="S96" s="260">
        <f t="shared" si="83"/>
        <v>0</v>
      </c>
      <c r="T96" s="260"/>
      <c r="U96" s="260"/>
      <c r="V96" s="260">
        <f t="shared" si="84"/>
        <v>0</v>
      </c>
      <c r="W96" s="260"/>
      <c r="X96" s="260"/>
      <c r="Y96" s="260">
        <f t="shared" si="85"/>
        <v>0</v>
      </c>
      <c r="Z96" s="260"/>
      <c r="AA96" s="260"/>
      <c r="AB96" s="260">
        <f t="shared" si="86"/>
        <v>0</v>
      </c>
    </row>
    <row r="97" spans="1:28" s="254" customFormat="1" ht="31.5" x14ac:dyDescent="0.25">
      <c r="A97" s="267" t="s">
        <v>545</v>
      </c>
      <c r="B97" s="260">
        <f t="shared" si="96"/>
        <v>14000</v>
      </c>
      <c r="C97" s="260">
        <f t="shared" si="96"/>
        <v>50432</v>
      </c>
      <c r="D97" s="260">
        <f t="shared" si="96"/>
        <v>36432</v>
      </c>
      <c r="E97" s="260"/>
      <c r="F97" s="260"/>
      <c r="G97" s="260">
        <f t="shared" si="97"/>
        <v>0</v>
      </c>
      <c r="H97" s="260"/>
      <c r="I97" s="260">
        <v>36432</v>
      </c>
      <c r="J97" s="260">
        <f t="shared" si="80"/>
        <v>36432</v>
      </c>
      <c r="K97" s="260">
        <f>11000+3000</f>
        <v>14000</v>
      </c>
      <c r="L97" s="260">
        <f>11000+3000</f>
        <v>14000</v>
      </c>
      <c r="M97" s="260">
        <f t="shared" si="81"/>
        <v>0</v>
      </c>
      <c r="N97" s="260"/>
      <c r="O97" s="260"/>
      <c r="P97" s="260">
        <f t="shared" si="82"/>
        <v>0</v>
      </c>
      <c r="Q97" s="260"/>
      <c r="R97" s="260"/>
      <c r="S97" s="260">
        <f t="shared" si="83"/>
        <v>0</v>
      </c>
      <c r="T97" s="260"/>
      <c r="U97" s="260"/>
      <c r="V97" s="260">
        <f t="shared" si="84"/>
        <v>0</v>
      </c>
      <c r="W97" s="260"/>
      <c r="X97" s="260"/>
      <c r="Y97" s="260">
        <f t="shared" si="85"/>
        <v>0</v>
      </c>
      <c r="Z97" s="260"/>
      <c r="AA97" s="260"/>
      <c r="AB97" s="260">
        <f t="shared" si="86"/>
        <v>0</v>
      </c>
    </row>
    <row r="98" spans="1:28" s="254" customFormat="1" ht="31.5" x14ac:dyDescent="0.25">
      <c r="A98" s="267" t="s">
        <v>502</v>
      </c>
      <c r="B98" s="260">
        <f t="shared" si="96"/>
        <v>7550</v>
      </c>
      <c r="C98" s="260">
        <f t="shared" si="96"/>
        <v>7550</v>
      </c>
      <c r="D98" s="260">
        <f t="shared" si="96"/>
        <v>0</v>
      </c>
      <c r="E98" s="260"/>
      <c r="F98" s="260"/>
      <c r="G98" s="260">
        <f t="shared" si="97"/>
        <v>0</v>
      </c>
      <c r="H98" s="260"/>
      <c r="I98" s="260"/>
      <c r="J98" s="260">
        <f t="shared" si="80"/>
        <v>0</v>
      </c>
      <c r="K98" s="260">
        <f>5000+2550</f>
        <v>7550</v>
      </c>
      <c r="L98" s="260">
        <f>5000+2550</f>
        <v>7550</v>
      </c>
      <c r="M98" s="260">
        <f t="shared" si="81"/>
        <v>0</v>
      </c>
      <c r="N98" s="260"/>
      <c r="O98" s="260"/>
      <c r="P98" s="260">
        <f t="shared" si="82"/>
        <v>0</v>
      </c>
      <c r="Q98" s="260"/>
      <c r="R98" s="260"/>
      <c r="S98" s="260">
        <f t="shared" si="83"/>
        <v>0</v>
      </c>
      <c r="T98" s="260"/>
      <c r="U98" s="260"/>
      <c r="V98" s="260">
        <f t="shared" si="84"/>
        <v>0</v>
      </c>
      <c r="W98" s="260"/>
      <c r="X98" s="260"/>
      <c r="Y98" s="260">
        <f t="shared" si="85"/>
        <v>0</v>
      </c>
      <c r="Z98" s="260"/>
      <c r="AA98" s="260"/>
      <c r="AB98" s="260">
        <f t="shared" si="86"/>
        <v>0</v>
      </c>
    </row>
    <row r="99" spans="1:28" s="254" customFormat="1" x14ac:dyDescent="0.25">
      <c r="A99" s="267" t="s">
        <v>68</v>
      </c>
      <c r="B99" s="260">
        <f t="shared" si="96"/>
        <v>11000</v>
      </c>
      <c r="C99" s="260">
        <f t="shared" si="96"/>
        <v>11000</v>
      </c>
      <c r="D99" s="260">
        <f t="shared" si="96"/>
        <v>0</v>
      </c>
      <c r="E99" s="260"/>
      <c r="F99" s="260"/>
      <c r="G99" s="260">
        <f t="shared" si="97"/>
        <v>0</v>
      </c>
      <c r="H99" s="260"/>
      <c r="I99" s="260"/>
      <c r="J99" s="260">
        <f t="shared" si="80"/>
        <v>0</v>
      </c>
      <c r="K99" s="260">
        <v>11000</v>
      </c>
      <c r="L99" s="260">
        <v>11000</v>
      </c>
      <c r="M99" s="260">
        <f t="shared" si="81"/>
        <v>0</v>
      </c>
      <c r="N99" s="260"/>
      <c r="O99" s="260"/>
      <c r="P99" s="260">
        <f t="shared" si="82"/>
        <v>0</v>
      </c>
      <c r="Q99" s="260"/>
      <c r="R99" s="260"/>
      <c r="S99" s="260">
        <f t="shared" si="83"/>
        <v>0</v>
      </c>
      <c r="T99" s="260"/>
      <c r="U99" s="260"/>
      <c r="V99" s="260">
        <f t="shared" si="84"/>
        <v>0</v>
      </c>
      <c r="W99" s="260"/>
      <c r="X99" s="260"/>
      <c r="Y99" s="260">
        <f t="shared" si="85"/>
        <v>0</v>
      </c>
      <c r="Z99" s="260"/>
      <c r="AA99" s="260"/>
      <c r="AB99" s="260">
        <f t="shared" si="86"/>
        <v>0</v>
      </c>
    </row>
    <row r="100" spans="1:28" s="254" customFormat="1" x14ac:dyDescent="0.25">
      <c r="A100" s="267" t="s">
        <v>69</v>
      </c>
      <c r="B100" s="260">
        <f t="shared" si="96"/>
        <v>9000</v>
      </c>
      <c r="C100" s="260">
        <f t="shared" si="96"/>
        <v>9000</v>
      </c>
      <c r="D100" s="260">
        <f t="shared" si="96"/>
        <v>0</v>
      </c>
      <c r="E100" s="260"/>
      <c r="F100" s="260"/>
      <c r="G100" s="260">
        <f t="shared" si="97"/>
        <v>0</v>
      </c>
      <c r="H100" s="260"/>
      <c r="I100" s="260"/>
      <c r="J100" s="260">
        <f t="shared" si="80"/>
        <v>0</v>
      </c>
      <c r="K100" s="260">
        <v>9000</v>
      </c>
      <c r="L100" s="260">
        <v>9000</v>
      </c>
      <c r="M100" s="260">
        <f t="shared" si="81"/>
        <v>0</v>
      </c>
      <c r="N100" s="260"/>
      <c r="O100" s="260"/>
      <c r="P100" s="260">
        <f t="shared" si="82"/>
        <v>0</v>
      </c>
      <c r="Q100" s="260"/>
      <c r="R100" s="260"/>
      <c r="S100" s="260">
        <f t="shared" si="83"/>
        <v>0</v>
      </c>
      <c r="T100" s="260"/>
      <c r="U100" s="260"/>
      <c r="V100" s="260">
        <f t="shared" si="84"/>
        <v>0</v>
      </c>
      <c r="W100" s="260"/>
      <c r="X100" s="260"/>
      <c r="Y100" s="260">
        <f t="shared" si="85"/>
        <v>0</v>
      </c>
      <c r="Z100" s="260"/>
      <c r="AA100" s="260"/>
      <c r="AB100" s="260">
        <f t="shared" si="86"/>
        <v>0</v>
      </c>
    </row>
    <row r="101" spans="1:28" s="254" customFormat="1" ht="31.5" x14ac:dyDescent="0.25">
      <c r="A101" s="267" t="s">
        <v>70</v>
      </c>
      <c r="B101" s="260">
        <f t="shared" si="96"/>
        <v>12270</v>
      </c>
      <c r="C101" s="260">
        <f t="shared" si="96"/>
        <v>12270</v>
      </c>
      <c r="D101" s="260">
        <f t="shared" si="96"/>
        <v>0</v>
      </c>
      <c r="E101" s="260"/>
      <c r="F101" s="260"/>
      <c r="G101" s="260">
        <f t="shared" si="97"/>
        <v>0</v>
      </c>
      <c r="H101" s="260"/>
      <c r="I101" s="260"/>
      <c r="J101" s="260">
        <f t="shared" si="80"/>
        <v>0</v>
      </c>
      <c r="K101" s="260">
        <f>3270+9000</f>
        <v>12270</v>
      </c>
      <c r="L101" s="260">
        <f>3270+9000</f>
        <v>12270</v>
      </c>
      <c r="M101" s="260">
        <f t="shared" si="81"/>
        <v>0</v>
      </c>
      <c r="N101" s="260"/>
      <c r="O101" s="260"/>
      <c r="P101" s="260">
        <f t="shared" si="82"/>
        <v>0</v>
      </c>
      <c r="Q101" s="260"/>
      <c r="R101" s="260"/>
      <c r="S101" s="260">
        <f t="shared" si="83"/>
        <v>0</v>
      </c>
      <c r="T101" s="260"/>
      <c r="U101" s="260"/>
      <c r="V101" s="260">
        <f t="shared" si="84"/>
        <v>0</v>
      </c>
      <c r="W101" s="260"/>
      <c r="X101" s="260"/>
      <c r="Y101" s="260">
        <f t="shared" si="85"/>
        <v>0</v>
      </c>
      <c r="Z101" s="260"/>
      <c r="AA101" s="260"/>
      <c r="AB101" s="260">
        <f t="shared" si="86"/>
        <v>0</v>
      </c>
    </row>
    <row r="102" spans="1:28" s="254" customFormat="1" ht="31.5" x14ac:dyDescent="0.25">
      <c r="A102" s="267" t="s">
        <v>71</v>
      </c>
      <c r="B102" s="260">
        <f t="shared" si="96"/>
        <v>12034</v>
      </c>
      <c r="C102" s="260">
        <f t="shared" si="96"/>
        <v>12034</v>
      </c>
      <c r="D102" s="260">
        <f t="shared" si="96"/>
        <v>0</v>
      </c>
      <c r="E102" s="260"/>
      <c r="F102" s="260"/>
      <c r="G102" s="260">
        <f t="shared" si="97"/>
        <v>0</v>
      </c>
      <c r="H102" s="260"/>
      <c r="I102" s="260"/>
      <c r="J102" s="260">
        <f t="shared" si="80"/>
        <v>0</v>
      </c>
      <c r="K102" s="260">
        <f>3034+9000</f>
        <v>12034</v>
      </c>
      <c r="L102" s="260">
        <f>3034+9000</f>
        <v>12034</v>
      </c>
      <c r="M102" s="260">
        <f t="shared" si="81"/>
        <v>0</v>
      </c>
      <c r="N102" s="260"/>
      <c r="O102" s="260"/>
      <c r="P102" s="260">
        <f t="shared" si="82"/>
        <v>0</v>
      </c>
      <c r="Q102" s="260"/>
      <c r="R102" s="260"/>
      <c r="S102" s="260">
        <f t="shared" si="83"/>
        <v>0</v>
      </c>
      <c r="T102" s="260"/>
      <c r="U102" s="260"/>
      <c r="V102" s="260">
        <f t="shared" si="84"/>
        <v>0</v>
      </c>
      <c r="W102" s="260"/>
      <c r="X102" s="260"/>
      <c r="Y102" s="260">
        <f t="shared" si="85"/>
        <v>0</v>
      </c>
      <c r="Z102" s="260"/>
      <c r="AA102" s="260"/>
      <c r="AB102" s="260">
        <f t="shared" si="86"/>
        <v>0</v>
      </c>
    </row>
    <row r="103" spans="1:28" s="254" customFormat="1" x14ac:dyDescent="0.25">
      <c r="A103" s="267" t="s">
        <v>72</v>
      </c>
      <c r="B103" s="260">
        <f t="shared" si="96"/>
        <v>9000</v>
      </c>
      <c r="C103" s="260">
        <f t="shared" si="96"/>
        <v>9000</v>
      </c>
      <c r="D103" s="260">
        <f t="shared" si="96"/>
        <v>0</v>
      </c>
      <c r="E103" s="260"/>
      <c r="F103" s="260"/>
      <c r="G103" s="260">
        <f t="shared" si="97"/>
        <v>0</v>
      </c>
      <c r="H103" s="260"/>
      <c r="I103" s="260"/>
      <c r="J103" s="260">
        <f t="shared" si="80"/>
        <v>0</v>
      </c>
      <c r="K103" s="260">
        <v>9000</v>
      </c>
      <c r="L103" s="260">
        <v>9000</v>
      </c>
      <c r="M103" s="260">
        <f t="shared" si="81"/>
        <v>0</v>
      </c>
      <c r="N103" s="260"/>
      <c r="O103" s="260"/>
      <c r="P103" s="260">
        <f t="shared" si="82"/>
        <v>0</v>
      </c>
      <c r="Q103" s="260"/>
      <c r="R103" s="260"/>
      <c r="S103" s="260">
        <f t="shared" si="83"/>
        <v>0</v>
      </c>
      <c r="T103" s="260"/>
      <c r="U103" s="260"/>
      <c r="V103" s="260">
        <f t="shared" si="84"/>
        <v>0</v>
      </c>
      <c r="W103" s="260"/>
      <c r="X103" s="260"/>
      <c r="Y103" s="260">
        <f t="shared" si="85"/>
        <v>0</v>
      </c>
      <c r="Z103" s="260"/>
      <c r="AA103" s="260"/>
      <c r="AB103" s="260">
        <f t="shared" si="86"/>
        <v>0</v>
      </c>
    </row>
    <row r="104" spans="1:28" s="254" customFormat="1" x14ac:dyDescent="0.25">
      <c r="A104" s="267" t="s">
        <v>73</v>
      </c>
      <c r="B104" s="260">
        <f t="shared" si="96"/>
        <v>10000</v>
      </c>
      <c r="C104" s="260">
        <f t="shared" si="96"/>
        <v>10000</v>
      </c>
      <c r="D104" s="260">
        <f t="shared" si="96"/>
        <v>0</v>
      </c>
      <c r="E104" s="260"/>
      <c r="F104" s="260"/>
      <c r="G104" s="260">
        <f t="shared" si="97"/>
        <v>0</v>
      </c>
      <c r="H104" s="260"/>
      <c r="I104" s="260"/>
      <c r="J104" s="260">
        <f t="shared" si="80"/>
        <v>0</v>
      </c>
      <c r="K104" s="260">
        <v>10000</v>
      </c>
      <c r="L104" s="260">
        <v>10000</v>
      </c>
      <c r="M104" s="260">
        <f t="shared" si="81"/>
        <v>0</v>
      </c>
      <c r="N104" s="260"/>
      <c r="O104" s="260"/>
      <c r="P104" s="260">
        <f t="shared" si="82"/>
        <v>0</v>
      </c>
      <c r="Q104" s="260"/>
      <c r="R104" s="260"/>
      <c r="S104" s="260">
        <f t="shared" si="83"/>
        <v>0</v>
      </c>
      <c r="T104" s="260"/>
      <c r="U104" s="260"/>
      <c r="V104" s="260">
        <f t="shared" si="84"/>
        <v>0</v>
      </c>
      <c r="W104" s="260"/>
      <c r="X104" s="260"/>
      <c r="Y104" s="260">
        <f t="shared" si="85"/>
        <v>0</v>
      </c>
      <c r="Z104" s="260"/>
      <c r="AA104" s="260"/>
      <c r="AB104" s="260">
        <f t="shared" si="86"/>
        <v>0</v>
      </c>
    </row>
    <row r="105" spans="1:28" s="254" customFormat="1" ht="31.5" x14ac:dyDescent="0.25">
      <c r="A105" s="267" t="s">
        <v>441</v>
      </c>
      <c r="B105" s="260">
        <f t="shared" si="96"/>
        <v>6898</v>
      </c>
      <c r="C105" s="260">
        <f t="shared" si="96"/>
        <v>6898</v>
      </c>
      <c r="D105" s="260">
        <f t="shared" si="96"/>
        <v>0</v>
      </c>
      <c r="E105" s="260"/>
      <c r="F105" s="260"/>
      <c r="G105" s="260">
        <f t="shared" si="97"/>
        <v>0</v>
      </c>
      <c r="H105" s="260"/>
      <c r="I105" s="260"/>
      <c r="J105" s="260">
        <f t="shared" si="80"/>
        <v>0</v>
      </c>
      <c r="K105" s="260">
        <f>5500+1398</f>
        <v>6898</v>
      </c>
      <c r="L105" s="260">
        <f>5500+1398</f>
        <v>6898</v>
      </c>
      <c r="M105" s="260">
        <f t="shared" si="81"/>
        <v>0</v>
      </c>
      <c r="N105" s="260"/>
      <c r="O105" s="260"/>
      <c r="P105" s="260">
        <f t="shared" si="82"/>
        <v>0</v>
      </c>
      <c r="Q105" s="260"/>
      <c r="R105" s="260"/>
      <c r="S105" s="260">
        <f t="shared" si="83"/>
        <v>0</v>
      </c>
      <c r="T105" s="260"/>
      <c r="U105" s="260"/>
      <c r="V105" s="260">
        <f t="shared" si="84"/>
        <v>0</v>
      </c>
      <c r="W105" s="260"/>
      <c r="X105" s="260"/>
      <c r="Y105" s="260">
        <f t="shared" si="85"/>
        <v>0</v>
      </c>
      <c r="Z105" s="260"/>
      <c r="AA105" s="260"/>
      <c r="AB105" s="260">
        <f t="shared" si="86"/>
        <v>0</v>
      </c>
    </row>
    <row r="106" spans="1:28" s="254" customFormat="1" x14ac:dyDescent="0.25">
      <c r="A106" s="267" t="s">
        <v>75</v>
      </c>
      <c r="B106" s="260">
        <f t="shared" si="96"/>
        <v>9000</v>
      </c>
      <c r="C106" s="260">
        <f t="shared" si="96"/>
        <v>9000</v>
      </c>
      <c r="D106" s="260">
        <f t="shared" si="96"/>
        <v>0</v>
      </c>
      <c r="E106" s="260"/>
      <c r="F106" s="260"/>
      <c r="G106" s="260">
        <f t="shared" si="97"/>
        <v>0</v>
      </c>
      <c r="H106" s="260"/>
      <c r="I106" s="260"/>
      <c r="J106" s="260">
        <f t="shared" si="80"/>
        <v>0</v>
      </c>
      <c r="K106" s="260">
        <v>9000</v>
      </c>
      <c r="L106" s="260">
        <v>9000</v>
      </c>
      <c r="M106" s="260">
        <f t="shared" si="81"/>
        <v>0</v>
      </c>
      <c r="N106" s="260"/>
      <c r="O106" s="260"/>
      <c r="P106" s="260">
        <f t="shared" si="82"/>
        <v>0</v>
      </c>
      <c r="Q106" s="260"/>
      <c r="R106" s="260"/>
      <c r="S106" s="260">
        <f t="shared" si="83"/>
        <v>0</v>
      </c>
      <c r="T106" s="260"/>
      <c r="U106" s="260"/>
      <c r="V106" s="260">
        <f t="shared" si="84"/>
        <v>0</v>
      </c>
      <c r="W106" s="260"/>
      <c r="X106" s="260"/>
      <c r="Y106" s="260">
        <f t="shared" si="85"/>
        <v>0</v>
      </c>
      <c r="Z106" s="260"/>
      <c r="AA106" s="260"/>
      <c r="AB106" s="260">
        <f t="shared" si="86"/>
        <v>0</v>
      </c>
    </row>
    <row r="107" spans="1:28" s="254" customFormat="1" x14ac:dyDescent="0.25">
      <c r="A107" s="267" t="s">
        <v>76</v>
      </c>
      <c r="B107" s="260">
        <f t="shared" si="96"/>
        <v>5500</v>
      </c>
      <c r="C107" s="260">
        <f t="shared" si="96"/>
        <v>5500</v>
      </c>
      <c r="D107" s="260">
        <f t="shared" si="96"/>
        <v>0</v>
      </c>
      <c r="E107" s="260"/>
      <c r="F107" s="260"/>
      <c r="G107" s="260">
        <f t="shared" si="97"/>
        <v>0</v>
      </c>
      <c r="H107" s="260"/>
      <c r="I107" s="260"/>
      <c r="J107" s="260">
        <f t="shared" si="80"/>
        <v>0</v>
      </c>
      <c r="K107" s="260">
        <v>5500</v>
      </c>
      <c r="L107" s="260">
        <v>5500</v>
      </c>
      <c r="M107" s="260">
        <f t="shared" si="81"/>
        <v>0</v>
      </c>
      <c r="N107" s="260"/>
      <c r="O107" s="260"/>
      <c r="P107" s="260">
        <f t="shared" si="82"/>
        <v>0</v>
      </c>
      <c r="Q107" s="260"/>
      <c r="R107" s="260"/>
      <c r="S107" s="260">
        <f t="shared" si="83"/>
        <v>0</v>
      </c>
      <c r="T107" s="260"/>
      <c r="U107" s="260"/>
      <c r="V107" s="260">
        <f t="shared" si="84"/>
        <v>0</v>
      </c>
      <c r="W107" s="260"/>
      <c r="X107" s="260"/>
      <c r="Y107" s="260">
        <f t="shared" si="85"/>
        <v>0</v>
      </c>
      <c r="Z107" s="260"/>
      <c r="AA107" s="260"/>
      <c r="AB107" s="260">
        <f t="shared" si="86"/>
        <v>0</v>
      </c>
    </row>
    <row r="108" spans="1:28" s="254" customFormat="1" ht="31.5" x14ac:dyDescent="0.25">
      <c r="A108" s="267" t="s">
        <v>77</v>
      </c>
      <c r="B108" s="260">
        <f t="shared" si="96"/>
        <v>8727</v>
      </c>
      <c r="C108" s="260">
        <f t="shared" si="96"/>
        <v>8727</v>
      </c>
      <c r="D108" s="260">
        <f t="shared" si="96"/>
        <v>0</v>
      </c>
      <c r="E108" s="260"/>
      <c r="F108" s="260"/>
      <c r="G108" s="260">
        <f t="shared" si="97"/>
        <v>0</v>
      </c>
      <c r="H108" s="260"/>
      <c r="I108" s="260"/>
      <c r="J108" s="260">
        <f t="shared" si="80"/>
        <v>0</v>
      </c>
      <c r="K108" s="260">
        <f>2000+1227+5500</f>
        <v>8727</v>
      </c>
      <c r="L108" s="260">
        <f>2000+1227+5500</f>
        <v>8727</v>
      </c>
      <c r="M108" s="260">
        <f t="shared" si="81"/>
        <v>0</v>
      </c>
      <c r="N108" s="260"/>
      <c r="O108" s="260"/>
      <c r="P108" s="260">
        <f t="shared" si="82"/>
        <v>0</v>
      </c>
      <c r="Q108" s="260"/>
      <c r="R108" s="260"/>
      <c r="S108" s="260">
        <f t="shared" si="83"/>
        <v>0</v>
      </c>
      <c r="T108" s="260"/>
      <c r="U108" s="260"/>
      <c r="V108" s="260">
        <f t="shared" si="84"/>
        <v>0</v>
      </c>
      <c r="W108" s="260"/>
      <c r="X108" s="260"/>
      <c r="Y108" s="260">
        <f t="shared" si="85"/>
        <v>0</v>
      </c>
      <c r="Z108" s="260"/>
      <c r="AA108" s="260"/>
      <c r="AB108" s="260">
        <f t="shared" si="86"/>
        <v>0</v>
      </c>
    </row>
    <row r="109" spans="1:28" s="254" customFormat="1" x14ac:dyDescent="0.25">
      <c r="A109" s="267" t="s">
        <v>78</v>
      </c>
      <c r="B109" s="260">
        <f t="shared" si="96"/>
        <v>5500</v>
      </c>
      <c r="C109" s="260">
        <f t="shared" si="96"/>
        <v>5500</v>
      </c>
      <c r="D109" s="260">
        <f t="shared" si="96"/>
        <v>0</v>
      </c>
      <c r="E109" s="260"/>
      <c r="F109" s="260"/>
      <c r="G109" s="260">
        <f t="shared" si="97"/>
        <v>0</v>
      </c>
      <c r="H109" s="260"/>
      <c r="I109" s="260"/>
      <c r="J109" s="260">
        <f t="shared" si="80"/>
        <v>0</v>
      </c>
      <c r="K109" s="260">
        <v>5500</v>
      </c>
      <c r="L109" s="260">
        <v>5500</v>
      </c>
      <c r="M109" s="260">
        <f t="shared" si="81"/>
        <v>0</v>
      </c>
      <c r="N109" s="260"/>
      <c r="O109" s="260"/>
      <c r="P109" s="260">
        <f t="shared" si="82"/>
        <v>0</v>
      </c>
      <c r="Q109" s="260"/>
      <c r="R109" s="260"/>
      <c r="S109" s="260">
        <f t="shared" si="83"/>
        <v>0</v>
      </c>
      <c r="T109" s="260"/>
      <c r="U109" s="260"/>
      <c r="V109" s="260">
        <f t="shared" si="84"/>
        <v>0</v>
      </c>
      <c r="W109" s="260"/>
      <c r="X109" s="260"/>
      <c r="Y109" s="260">
        <f t="shared" si="85"/>
        <v>0</v>
      </c>
      <c r="Z109" s="260"/>
      <c r="AA109" s="260"/>
      <c r="AB109" s="260">
        <f t="shared" si="86"/>
        <v>0</v>
      </c>
    </row>
    <row r="110" spans="1:28" s="254" customFormat="1" x14ac:dyDescent="0.25">
      <c r="A110" s="267" t="s">
        <v>79</v>
      </c>
      <c r="B110" s="260">
        <f t="shared" si="96"/>
        <v>4500</v>
      </c>
      <c r="C110" s="260">
        <f t="shared" si="96"/>
        <v>4500</v>
      </c>
      <c r="D110" s="260">
        <f t="shared" si="96"/>
        <v>0</v>
      </c>
      <c r="E110" s="260"/>
      <c r="F110" s="260"/>
      <c r="G110" s="260">
        <f t="shared" si="97"/>
        <v>0</v>
      </c>
      <c r="H110" s="260"/>
      <c r="I110" s="260"/>
      <c r="J110" s="260">
        <f t="shared" si="80"/>
        <v>0</v>
      </c>
      <c r="K110" s="260">
        <v>4500</v>
      </c>
      <c r="L110" s="260">
        <v>4500</v>
      </c>
      <c r="M110" s="260">
        <f t="shared" si="81"/>
        <v>0</v>
      </c>
      <c r="N110" s="260"/>
      <c r="O110" s="260"/>
      <c r="P110" s="260">
        <f t="shared" si="82"/>
        <v>0</v>
      </c>
      <c r="Q110" s="260"/>
      <c r="R110" s="260"/>
      <c r="S110" s="260">
        <f t="shared" si="83"/>
        <v>0</v>
      </c>
      <c r="T110" s="260"/>
      <c r="U110" s="260"/>
      <c r="V110" s="260">
        <f t="shared" si="84"/>
        <v>0</v>
      </c>
      <c r="W110" s="260"/>
      <c r="X110" s="260"/>
      <c r="Y110" s="260">
        <f t="shared" si="85"/>
        <v>0</v>
      </c>
      <c r="Z110" s="260"/>
      <c r="AA110" s="260"/>
      <c r="AB110" s="260">
        <f t="shared" si="86"/>
        <v>0</v>
      </c>
    </row>
    <row r="111" spans="1:28" s="254" customFormat="1" x14ac:dyDescent="0.25">
      <c r="A111" s="267" t="s">
        <v>80</v>
      </c>
      <c r="B111" s="260">
        <f t="shared" si="96"/>
        <v>4500</v>
      </c>
      <c r="C111" s="260">
        <f t="shared" si="96"/>
        <v>4500</v>
      </c>
      <c r="D111" s="260">
        <f t="shared" si="96"/>
        <v>0</v>
      </c>
      <c r="E111" s="260"/>
      <c r="F111" s="260"/>
      <c r="G111" s="260">
        <f t="shared" si="97"/>
        <v>0</v>
      </c>
      <c r="H111" s="260"/>
      <c r="I111" s="260"/>
      <c r="J111" s="260">
        <f t="shared" si="80"/>
        <v>0</v>
      </c>
      <c r="K111" s="260">
        <v>4500</v>
      </c>
      <c r="L111" s="260">
        <v>4500</v>
      </c>
      <c r="M111" s="260">
        <f t="shared" si="81"/>
        <v>0</v>
      </c>
      <c r="N111" s="260"/>
      <c r="O111" s="260"/>
      <c r="P111" s="260">
        <f t="shared" si="82"/>
        <v>0</v>
      </c>
      <c r="Q111" s="260"/>
      <c r="R111" s="260"/>
      <c r="S111" s="260">
        <f t="shared" si="83"/>
        <v>0</v>
      </c>
      <c r="T111" s="260"/>
      <c r="U111" s="260"/>
      <c r="V111" s="260">
        <f t="shared" si="84"/>
        <v>0</v>
      </c>
      <c r="W111" s="260"/>
      <c r="X111" s="260"/>
      <c r="Y111" s="260">
        <f t="shared" si="85"/>
        <v>0</v>
      </c>
      <c r="Z111" s="260"/>
      <c r="AA111" s="260"/>
      <c r="AB111" s="260">
        <f t="shared" si="86"/>
        <v>0</v>
      </c>
    </row>
    <row r="112" spans="1:28" s="254" customFormat="1" x14ac:dyDescent="0.25">
      <c r="A112" s="267" t="s">
        <v>81</v>
      </c>
      <c r="B112" s="260">
        <f t="shared" si="96"/>
        <v>14000</v>
      </c>
      <c r="C112" s="260">
        <f t="shared" si="96"/>
        <v>14000</v>
      </c>
      <c r="D112" s="260">
        <f t="shared" si="96"/>
        <v>0</v>
      </c>
      <c r="E112" s="260"/>
      <c r="F112" s="260"/>
      <c r="G112" s="260">
        <f t="shared" si="97"/>
        <v>0</v>
      </c>
      <c r="H112" s="260"/>
      <c r="I112" s="260"/>
      <c r="J112" s="260">
        <f t="shared" si="80"/>
        <v>0</v>
      </c>
      <c r="K112" s="260">
        <v>14000</v>
      </c>
      <c r="L112" s="260">
        <v>14000</v>
      </c>
      <c r="M112" s="260">
        <f t="shared" si="81"/>
        <v>0</v>
      </c>
      <c r="N112" s="260"/>
      <c r="O112" s="260"/>
      <c r="P112" s="260">
        <f t="shared" si="82"/>
        <v>0</v>
      </c>
      <c r="Q112" s="260"/>
      <c r="R112" s="260"/>
      <c r="S112" s="260">
        <f t="shared" si="83"/>
        <v>0</v>
      </c>
      <c r="T112" s="260"/>
      <c r="U112" s="260"/>
      <c r="V112" s="260">
        <f t="shared" si="84"/>
        <v>0</v>
      </c>
      <c r="W112" s="260"/>
      <c r="X112" s="260"/>
      <c r="Y112" s="260">
        <f t="shared" si="85"/>
        <v>0</v>
      </c>
      <c r="Z112" s="260"/>
      <c r="AA112" s="260"/>
      <c r="AB112" s="260">
        <f t="shared" si="86"/>
        <v>0</v>
      </c>
    </row>
    <row r="113" spans="1:28" s="254" customFormat="1" x14ac:dyDescent="0.25">
      <c r="A113" s="267" t="s">
        <v>82</v>
      </c>
      <c r="B113" s="260">
        <f t="shared" si="96"/>
        <v>16600</v>
      </c>
      <c r="C113" s="260">
        <f t="shared" si="96"/>
        <v>16600</v>
      </c>
      <c r="D113" s="260">
        <f t="shared" si="96"/>
        <v>0</v>
      </c>
      <c r="E113" s="260"/>
      <c r="F113" s="260"/>
      <c r="G113" s="260">
        <f t="shared" si="97"/>
        <v>0</v>
      </c>
      <c r="H113" s="260">
        <v>3600</v>
      </c>
      <c r="I113" s="260">
        <v>3600</v>
      </c>
      <c r="J113" s="260">
        <f t="shared" si="80"/>
        <v>0</v>
      </c>
      <c r="K113" s="260">
        <v>13000</v>
      </c>
      <c r="L113" s="260">
        <v>13000</v>
      </c>
      <c r="M113" s="260">
        <f t="shared" si="81"/>
        <v>0</v>
      </c>
      <c r="N113" s="260"/>
      <c r="O113" s="260"/>
      <c r="P113" s="260">
        <f t="shared" si="82"/>
        <v>0</v>
      </c>
      <c r="Q113" s="260"/>
      <c r="R113" s="260"/>
      <c r="S113" s="260">
        <f t="shared" si="83"/>
        <v>0</v>
      </c>
      <c r="T113" s="260"/>
      <c r="U113" s="260"/>
      <c r="V113" s="260">
        <f t="shared" si="84"/>
        <v>0</v>
      </c>
      <c r="W113" s="260"/>
      <c r="X113" s="260"/>
      <c r="Y113" s="260">
        <f t="shared" si="85"/>
        <v>0</v>
      </c>
      <c r="Z113" s="260"/>
      <c r="AA113" s="260"/>
      <c r="AB113" s="260">
        <f t="shared" si="86"/>
        <v>0</v>
      </c>
    </row>
    <row r="114" spans="1:28" s="254" customFormat="1" ht="31.5" x14ac:dyDescent="0.25">
      <c r="A114" s="267" t="s">
        <v>546</v>
      </c>
      <c r="B114" s="260">
        <f t="shared" si="96"/>
        <v>45946</v>
      </c>
      <c r="C114" s="260">
        <f t="shared" si="96"/>
        <v>106436</v>
      </c>
      <c r="D114" s="260">
        <f t="shared" si="96"/>
        <v>60490</v>
      </c>
      <c r="E114" s="260"/>
      <c r="F114" s="260"/>
      <c r="G114" s="260">
        <f t="shared" si="97"/>
        <v>0</v>
      </c>
      <c r="H114" s="260">
        <v>9690</v>
      </c>
      <c r="I114" s="260">
        <f>9690+60490</f>
        <v>70180</v>
      </c>
      <c r="J114" s="260">
        <f t="shared" si="80"/>
        <v>60490</v>
      </c>
      <c r="K114" s="260">
        <f>13000+23256</f>
        <v>36256</v>
      </c>
      <c r="L114" s="260">
        <f>13000+23256</f>
        <v>36256</v>
      </c>
      <c r="M114" s="260">
        <f t="shared" si="81"/>
        <v>0</v>
      </c>
      <c r="N114" s="260"/>
      <c r="O114" s="260"/>
      <c r="P114" s="260">
        <f t="shared" si="82"/>
        <v>0</v>
      </c>
      <c r="Q114" s="260"/>
      <c r="R114" s="260"/>
      <c r="S114" s="260">
        <f t="shared" si="83"/>
        <v>0</v>
      </c>
      <c r="T114" s="260"/>
      <c r="U114" s="260"/>
      <c r="V114" s="260">
        <f t="shared" si="84"/>
        <v>0</v>
      </c>
      <c r="W114" s="260"/>
      <c r="X114" s="260"/>
      <c r="Y114" s="260">
        <f t="shared" si="85"/>
        <v>0</v>
      </c>
      <c r="Z114" s="260"/>
      <c r="AA114" s="260"/>
      <c r="AB114" s="260">
        <f t="shared" si="86"/>
        <v>0</v>
      </c>
    </row>
    <row r="115" spans="1:28" s="254" customFormat="1" x14ac:dyDescent="0.25">
      <c r="A115" s="267" t="s">
        <v>84</v>
      </c>
      <c r="B115" s="260">
        <f t="shared" si="96"/>
        <v>14355</v>
      </c>
      <c r="C115" s="260">
        <f t="shared" si="96"/>
        <v>14355</v>
      </c>
      <c r="D115" s="260">
        <f t="shared" si="96"/>
        <v>0</v>
      </c>
      <c r="E115" s="260"/>
      <c r="F115" s="260"/>
      <c r="G115" s="260">
        <f t="shared" si="97"/>
        <v>0</v>
      </c>
      <c r="H115" s="260">
        <v>1355</v>
      </c>
      <c r="I115" s="260">
        <v>1355</v>
      </c>
      <c r="J115" s="260">
        <f t="shared" si="80"/>
        <v>0</v>
      </c>
      <c r="K115" s="260">
        <v>13000</v>
      </c>
      <c r="L115" s="260">
        <v>13000</v>
      </c>
      <c r="M115" s="260">
        <f t="shared" si="81"/>
        <v>0</v>
      </c>
      <c r="N115" s="260"/>
      <c r="O115" s="260"/>
      <c r="P115" s="260">
        <f t="shared" si="82"/>
        <v>0</v>
      </c>
      <c r="Q115" s="260"/>
      <c r="R115" s="260"/>
      <c r="S115" s="260">
        <f t="shared" si="83"/>
        <v>0</v>
      </c>
      <c r="T115" s="260"/>
      <c r="U115" s="260"/>
      <c r="V115" s="260">
        <f t="shared" si="84"/>
        <v>0</v>
      </c>
      <c r="W115" s="260"/>
      <c r="X115" s="260"/>
      <c r="Y115" s="260">
        <f t="shared" si="85"/>
        <v>0</v>
      </c>
      <c r="Z115" s="260"/>
      <c r="AA115" s="260"/>
      <c r="AB115" s="260">
        <f t="shared" si="86"/>
        <v>0</v>
      </c>
    </row>
    <row r="116" spans="1:28" s="251" customFormat="1" ht="63" x14ac:dyDescent="0.25">
      <c r="A116" s="266" t="s">
        <v>215</v>
      </c>
      <c r="B116" s="253">
        <f t="shared" si="96"/>
        <v>405959</v>
      </c>
      <c r="C116" s="253">
        <f t="shared" si="96"/>
        <v>405959</v>
      </c>
      <c r="D116" s="253">
        <f t="shared" si="96"/>
        <v>0</v>
      </c>
      <c r="E116" s="253">
        <f>SUM(E117:E146)</f>
        <v>0</v>
      </c>
      <c r="F116" s="253">
        <f>SUM(F117:F146)</f>
        <v>0</v>
      </c>
      <c r="G116" s="253">
        <f t="shared" si="97"/>
        <v>0</v>
      </c>
      <c r="H116" s="253">
        <f t="shared" ref="H116" si="98">SUM(H117:H146)</f>
        <v>0</v>
      </c>
      <c r="I116" s="253">
        <f t="shared" ref="I116" si="99">SUM(I117:I146)</f>
        <v>0</v>
      </c>
      <c r="J116" s="253">
        <f t="shared" si="80"/>
        <v>0</v>
      </c>
      <c r="K116" s="253">
        <f t="shared" ref="K116" si="100">SUM(K117:K146)</f>
        <v>405959</v>
      </c>
      <c r="L116" s="253">
        <f t="shared" ref="L116" si="101">SUM(L117:L146)</f>
        <v>405959</v>
      </c>
      <c r="M116" s="253">
        <f t="shared" si="81"/>
        <v>0</v>
      </c>
      <c r="N116" s="253">
        <f t="shared" ref="N116" si="102">SUM(N117:N146)</f>
        <v>0</v>
      </c>
      <c r="O116" s="253">
        <f t="shared" ref="O116" si="103">SUM(O117:O146)</f>
        <v>0</v>
      </c>
      <c r="P116" s="253">
        <f t="shared" si="82"/>
        <v>0</v>
      </c>
      <c r="Q116" s="253">
        <f t="shared" ref="Q116" si="104">SUM(Q117:Q146)</f>
        <v>0</v>
      </c>
      <c r="R116" s="253">
        <f t="shared" ref="R116" si="105">SUM(R117:R146)</f>
        <v>0</v>
      </c>
      <c r="S116" s="253">
        <f t="shared" si="83"/>
        <v>0</v>
      </c>
      <c r="T116" s="253">
        <f t="shared" ref="T116" si="106">SUM(T117:T146)</f>
        <v>0</v>
      </c>
      <c r="U116" s="253">
        <f t="shared" ref="U116" si="107">SUM(U117:U146)</f>
        <v>0</v>
      </c>
      <c r="V116" s="253">
        <f t="shared" si="84"/>
        <v>0</v>
      </c>
      <c r="W116" s="253">
        <f t="shared" ref="W116:X116" si="108">SUM(W117:W146)</f>
        <v>0</v>
      </c>
      <c r="X116" s="253">
        <f t="shared" si="108"/>
        <v>0</v>
      </c>
      <c r="Y116" s="253">
        <f t="shared" si="85"/>
        <v>0</v>
      </c>
      <c r="Z116" s="253">
        <f t="shared" ref="Z116" si="109">SUM(Z117:Z146)</f>
        <v>0</v>
      </c>
      <c r="AA116" s="253">
        <f t="shared" ref="AA116" si="110">SUM(AA117:AA146)</f>
        <v>0</v>
      </c>
      <c r="AB116" s="253">
        <f t="shared" si="86"/>
        <v>0</v>
      </c>
    </row>
    <row r="117" spans="1:28" s="254" customFormat="1" x14ac:dyDescent="0.25">
      <c r="A117" s="267" t="s">
        <v>216</v>
      </c>
      <c r="B117" s="260">
        <f t="shared" si="96"/>
        <v>15999</v>
      </c>
      <c r="C117" s="260">
        <f t="shared" si="96"/>
        <v>15999</v>
      </c>
      <c r="D117" s="260">
        <f t="shared" si="96"/>
        <v>0</v>
      </c>
      <c r="E117" s="260"/>
      <c r="F117" s="260"/>
      <c r="G117" s="260">
        <f t="shared" si="97"/>
        <v>0</v>
      </c>
      <c r="H117" s="260"/>
      <c r="I117" s="260"/>
      <c r="J117" s="260">
        <f t="shared" si="80"/>
        <v>0</v>
      </c>
      <c r="K117" s="260">
        <v>15999</v>
      </c>
      <c r="L117" s="260">
        <v>15999</v>
      </c>
      <c r="M117" s="260">
        <f t="shared" si="81"/>
        <v>0</v>
      </c>
      <c r="N117" s="260"/>
      <c r="O117" s="260"/>
      <c r="P117" s="260">
        <f t="shared" si="82"/>
        <v>0</v>
      </c>
      <c r="Q117" s="260"/>
      <c r="R117" s="260"/>
      <c r="S117" s="260">
        <f t="shared" si="83"/>
        <v>0</v>
      </c>
      <c r="T117" s="260"/>
      <c r="U117" s="260"/>
      <c r="V117" s="260">
        <f t="shared" si="84"/>
        <v>0</v>
      </c>
      <c r="W117" s="260"/>
      <c r="X117" s="260"/>
      <c r="Y117" s="260">
        <f t="shared" si="85"/>
        <v>0</v>
      </c>
      <c r="Z117" s="260"/>
      <c r="AA117" s="260"/>
      <c r="AB117" s="260">
        <f t="shared" si="86"/>
        <v>0</v>
      </c>
    </row>
    <row r="118" spans="1:28" s="254" customFormat="1" x14ac:dyDescent="0.25">
      <c r="A118" s="267" t="s">
        <v>51</v>
      </c>
      <c r="B118" s="260">
        <f t="shared" si="96"/>
        <v>15999</v>
      </c>
      <c r="C118" s="260">
        <f t="shared" si="96"/>
        <v>15999</v>
      </c>
      <c r="D118" s="260">
        <f t="shared" si="96"/>
        <v>0</v>
      </c>
      <c r="E118" s="260"/>
      <c r="F118" s="260"/>
      <c r="G118" s="260">
        <f t="shared" si="97"/>
        <v>0</v>
      </c>
      <c r="H118" s="260"/>
      <c r="I118" s="260"/>
      <c r="J118" s="260">
        <f t="shared" si="80"/>
        <v>0</v>
      </c>
      <c r="K118" s="260">
        <v>15999</v>
      </c>
      <c r="L118" s="260">
        <v>15999</v>
      </c>
      <c r="M118" s="260">
        <f t="shared" si="81"/>
        <v>0</v>
      </c>
      <c r="N118" s="260"/>
      <c r="O118" s="260"/>
      <c r="P118" s="260">
        <f t="shared" si="82"/>
        <v>0</v>
      </c>
      <c r="Q118" s="260"/>
      <c r="R118" s="260"/>
      <c r="S118" s="260">
        <f t="shared" si="83"/>
        <v>0</v>
      </c>
      <c r="T118" s="260"/>
      <c r="U118" s="260"/>
      <c r="V118" s="260">
        <f t="shared" si="84"/>
        <v>0</v>
      </c>
      <c r="W118" s="260"/>
      <c r="X118" s="260"/>
      <c r="Y118" s="260">
        <f t="shared" si="85"/>
        <v>0</v>
      </c>
      <c r="Z118" s="260"/>
      <c r="AA118" s="260"/>
      <c r="AB118" s="260">
        <f t="shared" si="86"/>
        <v>0</v>
      </c>
    </row>
    <row r="119" spans="1:28" s="254" customFormat="1" x14ac:dyDescent="0.25">
      <c r="A119" s="267" t="s">
        <v>52</v>
      </c>
      <c r="B119" s="260">
        <f t="shared" si="96"/>
        <v>11000</v>
      </c>
      <c r="C119" s="260">
        <f t="shared" si="96"/>
        <v>11000</v>
      </c>
      <c r="D119" s="260">
        <f t="shared" si="96"/>
        <v>0</v>
      </c>
      <c r="E119" s="260"/>
      <c r="F119" s="260"/>
      <c r="G119" s="260">
        <f t="shared" si="97"/>
        <v>0</v>
      </c>
      <c r="H119" s="260"/>
      <c r="I119" s="260"/>
      <c r="J119" s="260">
        <f t="shared" si="80"/>
        <v>0</v>
      </c>
      <c r="K119" s="260">
        <v>11000</v>
      </c>
      <c r="L119" s="260">
        <v>11000</v>
      </c>
      <c r="M119" s="260">
        <f t="shared" si="81"/>
        <v>0</v>
      </c>
      <c r="N119" s="260"/>
      <c r="O119" s="260"/>
      <c r="P119" s="260">
        <f t="shared" si="82"/>
        <v>0</v>
      </c>
      <c r="Q119" s="260"/>
      <c r="R119" s="260"/>
      <c r="S119" s="260">
        <f t="shared" si="83"/>
        <v>0</v>
      </c>
      <c r="T119" s="260"/>
      <c r="U119" s="260"/>
      <c r="V119" s="260">
        <f t="shared" si="84"/>
        <v>0</v>
      </c>
      <c r="W119" s="260"/>
      <c r="X119" s="260"/>
      <c r="Y119" s="260">
        <f t="shared" si="85"/>
        <v>0</v>
      </c>
      <c r="Z119" s="260"/>
      <c r="AA119" s="260"/>
      <c r="AB119" s="260">
        <f t="shared" si="86"/>
        <v>0</v>
      </c>
    </row>
    <row r="120" spans="1:28" s="254" customFormat="1" x14ac:dyDescent="0.25">
      <c r="A120" s="267" t="s">
        <v>53</v>
      </c>
      <c r="B120" s="260">
        <f t="shared" si="96"/>
        <v>10998</v>
      </c>
      <c r="C120" s="260">
        <f t="shared" si="96"/>
        <v>10998</v>
      </c>
      <c r="D120" s="260">
        <f t="shared" si="96"/>
        <v>0</v>
      </c>
      <c r="E120" s="260"/>
      <c r="F120" s="260"/>
      <c r="G120" s="260">
        <f t="shared" si="97"/>
        <v>0</v>
      </c>
      <c r="H120" s="260"/>
      <c r="I120" s="260"/>
      <c r="J120" s="260">
        <f t="shared" si="80"/>
        <v>0</v>
      </c>
      <c r="K120" s="260">
        <v>10998</v>
      </c>
      <c r="L120" s="260">
        <v>10998</v>
      </c>
      <c r="M120" s="260">
        <f t="shared" si="81"/>
        <v>0</v>
      </c>
      <c r="N120" s="260"/>
      <c r="O120" s="260"/>
      <c r="P120" s="260">
        <f t="shared" si="82"/>
        <v>0</v>
      </c>
      <c r="Q120" s="260"/>
      <c r="R120" s="260"/>
      <c r="S120" s="260">
        <f t="shared" si="83"/>
        <v>0</v>
      </c>
      <c r="T120" s="260"/>
      <c r="U120" s="260"/>
      <c r="V120" s="260">
        <f t="shared" si="84"/>
        <v>0</v>
      </c>
      <c r="W120" s="260"/>
      <c r="X120" s="260"/>
      <c r="Y120" s="260">
        <f t="shared" si="85"/>
        <v>0</v>
      </c>
      <c r="Z120" s="260"/>
      <c r="AA120" s="260"/>
      <c r="AB120" s="260">
        <f t="shared" si="86"/>
        <v>0</v>
      </c>
    </row>
    <row r="121" spans="1:28" s="254" customFormat="1" x14ac:dyDescent="0.25">
      <c r="A121" s="267" t="s">
        <v>55</v>
      </c>
      <c r="B121" s="260">
        <f t="shared" si="96"/>
        <v>14999</v>
      </c>
      <c r="C121" s="260">
        <f t="shared" si="96"/>
        <v>14999</v>
      </c>
      <c r="D121" s="260">
        <f t="shared" si="96"/>
        <v>0</v>
      </c>
      <c r="E121" s="260"/>
      <c r="F121" s="260"/>
      <c r="G121" s="260">
        <f t="shared" si="97"/>
        <v>0</v>
      </c>
      <c r="H121" s="260"/>
      <c r="I121" s="260"/>
      <c r="J121" s="260">
        <f t="shared" si="80"/>
        <v>0</v>
      </c>
      <c r="K121" s="260">
        <v>14999</v>
      </c>
      <c r="L121" s="260">
        <v>14999</v>
      </c>
      <c r="M121" s="260">
        <f t="shared" si="81"/>
        <v>0</v>
      </c>
      <c r="N121" s="260"/>
      <c r="O121" s="260"/>
      <c r="P121" s="260">
        <f t="shared" si="82"/>
        <v>0</v>
      </c>
      <c r="Q121" s="260"/>
      <c r="R121" s="260"/>
      <c r="S121" s="260">
        <f t="shared" si="83"/>
        <v>0</v>
      </c>
      <c r="T121" s="260"/>
      <c r="U121" s="260"/>
      <c r="V121" s="260">
        <f t="shared" si="84"/>
        <v>0</v>
      </c>
      <c r="W121" s="260"/>
      <c r="X121" s="260"/>
      <c r="Y121" s="260">
        <f t="shared" si="85"/>
        <v>0</v>
      </c>
      <c r="Z121" s="260"/>
      <c r="AA121" s="260"/>
      <c r="AB121" s="260">
        <f t="shared" si="86"/>
        <v>0</v>
      </c>
    </row>
    <row r="122" spans="1:28" s="254" customFormat="1" x14ac:dyDescent="0.25">
      <c r="A122" s="267" t="s">
        <v>217</v>
      </c>
      <c r="B122" s="260">
        <f t="shared" si="96"/>
        <v>13998</v>
      </c>
      <c r="C122" s="260">
        <f t="shared" si="96"/>
        <v>13998</v>
      </c>
      <c r="D122" s="260">
        <f t="shared" si="96"/>
        <v>0</v>
      </c>
      <c r="E122" s="260"/>
      <c r="F122" s="260"/>
      <c r="G122" s="260">
        <f t="shared" si="97"/>
        <v>0</v>
      </c>
      <c r="H122" s="260"/>
      <c r="I122" s="260"/>
      <c r="J122" s="260">
        <f t="shared" si="80"/>
        <v>0</v>
      </c>
      <c r="K122" s="260">
        <v>13998</v>
      </c>
      <c r="L122" s="260">
        <v>13998</v>
      </c>
      <c r="M122" s="260">
        <f t="shared" si="81"/>
        <v>0</v>
      </c>
      <c r="N122" s="260"/>
      <c r="O122" s="260"/>
      <c r="P122" s="260">
        <f t="shared" si="82"/>
        <v>0</v>
      </c>
      <c r="Q122" s="260"/>
      <c r="R122" s="260"/>
      <c r="S122" s="260">
        <f t="shared" si="83"/>
        <v>0</v>
      </c>
      <c r="T122" s="260"/>
      <c r="U122" s="260"/>
      <c r="V122" s="260">
        <f t="shared" si="84"/>
        <v>0</v>
      </c>
      <c r="W122" s="260"/>
      <c r="X122" s="260"/>
      <c r="Y122" s="260">
        <f t="shared" si="85"/>
        <v>0</v>
      </c>
      <c r="Z122" s="260"/>
      <c r="AA122" s="260"/>
      <c r="AB122" s="260">
        <f t="shared" si="86"/>
        <v>0</v>
      </c>
    </row>
    <row r="123" spans="1:28" s="254" customFormat="1" x14ac:dyDescent="0.25">
      <c r="A123" s="267" t="s">
        <v>57</v>
      </c>
      <c r="B123" s="260">
        <f t="shared" si="96"/>
        <v>10998</v>
      </c>
      <c r="C123" s="260">
        <f t="shared" si="96"/>
        <v>10998</v>
      </c>
      <c r="D123" s="260">
        <f t="shared" si="96"/>
        <v>0</v>
      </c>
      <c r="E123" s="260"/>
      <c r="F123" s="260"/>
      <c r="G123" s="260">
        <f t="shared" si="97"/>
        <v>0</v>
      </c>
      <c r="H123" s="260"/>
      <c r="I123" s="260"/>
      <c r="J123" s="260">
        <f t="shared" si="80"/>
        <v>0</v>
      </c>
      <c r="K123" s="260">
        <v>10998</v>
      </c>
      <c r="L123" s="260">
        <v>10998</v>
      </c>
      <c r="M123" s="260">
        <f t="shared" si="81"/>
        <v>0</v>
      </c>
      <c r="N123" s="260"/>
      <c r="O123" s="260"/>
      <c r="P123" s="260">
        <f t="shared" si="82"/>
        <v>0</v>
      </c>
      <c r="Q123" s="260"/>
      <c r="R123" s="260"/>
      <c r="S123" s="260">
        <f t="shared" si="83"/>
        <v>0</v>
      </c>
      <c r="T123" s="260"/>
      <c r="U123" s="260"/>
      <c r="V123" s="260">
        <f t="shared" si="84"/>
        <v>0</v>
      </c>
      <c r="W123" s="260"/>
      <c r="X123" s="260"/>
      <c r="Y123" s="260">
        <f t="shared" si="85"/>
        <v>0</v>
      </c>
      <c r="Z123" s="260"/>
      <c r="AA123" s="260"/>
      <c r="AB123" s="260">
        <f t="shared" si="86"/>
        <v>0</v>
      </c>
    </row>
    <row r="124" spans="1:28" s="254" customFormat="1" x14ac:dyDescent="0.25">
      <c r="A124" s="267" t="s">
        <v>218</v>
      </c>
      <c r="B124" s="260">
        <f t="shared" si="96"/>
        <v>13998</v>
      </c>
      <c r="C124" s="260">
        <f t="shared" si="96"/>
        <v>13998</v>
      </c>
      <c r="D124" s="260">
        <f t="shared" si="96"/>
        <v>0</v>
      </c>
      <c r="E124" s="260"/>
      <c r="F124" s="260"/>
      <c r="G124" s="260">
        <f t="shared" si="97"/>
        <v>0</v>
      </c>
      <c r="H124" s="260"/>
      <c r="I124" s="260"/>
      <c r="J124" s="260">
        <f t="shared" si="80"/>
        <v>0</v>
      </c>
      <c r="K124" s="260">
        <v>13998</v>
      </c>
      <c r="L124" s="260">
        <v>13998</v>
      </c>
      <c r="M124" s="260">
        <f t="shared" si="81"/>
        <v>0</v>
      </c>
      <c r="N124" s="260"/>
      <c r="O124" s="260"/>
      <c r="P124" s="260">
        <f t="shared" si="82"/>
        <v>0</v>
      </c>
      <c r="Q124" s="260"/>
      <c r="R124" s="260"/>
      <c r="S124" s="260">
        <f t="shared" si="83"/>
        <v>0</v>
      </c>
      <c r="T124" s="260"/>
      <c r="U124" s="260"/>
      <c r="V124" s="260">
        <f t="shared" si="84"/>
        <v>0</v>
      </c>
      <c r="W124" s="260"/>
      <c r="X124" s="260"/>
      <c r="Y124" s="260">
        <f t="shared" si="85"/>
        <v>0</v>
      </c>
      <c r="Z124" s="260"/>
      <c r="AA124" s="260"/>
      <c r="AB124" s="260">
        <f t="shared" si="86"/>
        <v>0</v>
      </c>
    </row>
    <row r="125" spans="1:28" s="254" customFormat="1" x14ac:dyDescent="0.25">
      <c r="A125" s="267" t="s">
        <v>59</v>
      </c>
      <c r="B125" s="260">
        <f t="shared" si="96"/>
        <v>15999</v>
      </c>
      <c r="C125" s="260">
        <f t="shared" si="96"/>
        <v>15999</v>
      </c>
      <c r="D125" s="260">
        <f t="shared" si="96"/>
        <v>0</v>
      </c>
      <c r="E125" s="260"/>
      <c r="F125" s="260"/>
      <c r="G125" s="260">
        <f t="shared" si="97"/>
        <v>0</v>
      </c>
      <c r="H125" s="260"/>
      <c r="I125" s="260"/>
      <c r="J125" s="260">
        <f t="shared" si="80"/>
        <v>0</v>
      </c>
      <c r="K125" s="260">
        <v>15999</v>
      </c>
      <c r="L125" s="260">
        <v>15999</v>
      </c>
      <c r="M125" s="260">
        <f t="shared" si="81"/>
        <v>0</v>
      </c>
      <c r="N125" s="260"/>
      <c r="O125" s="260"/>
      <c r="P125" s="260">
        <f t="shared" si="82"/>
        <v>0</v>
      </c>
      <c r="Q125" s="260"/>
      <c r="R125" s="260"/>
      <c r="S125" s="260">
        <f t="shared" si="83"/>
        <v>0</v>
      </c>
      <c r="T125" s="260"/>
      <c r="U125" s="260"/>
      <c r="V125" s="260">
        <f t="shared" si="84"/>
        <v>0</v>
      </c>
      <c r="W125" s="260"/>
      <c r="X125" s="260"/>
      <c r="Y125" s="260">
        <f t="shared" si="85"/>
        <v>0</v>
      </c>
      <c r="Z125" s="260"/>
      <c r="AA125" s="260"/>
      <c r="AB125" s="260">
        <f t="shared" si="86"/>
        <v>0</v>
      </c>
    </row>
    <row r="126" spans="1:28" s="254" customFormat="1" x14ac:dyDescent="0.25">
      <c r="A126" s="267" t="s">
        <v>219</v>
      </c>
      <c r="B126" s="260">
        <f t="shared" si="96"/>
        <v>13998</v>
      </c>
      <c r="C126" s="260">
        <f t="shared" si="96"/>
        <v>13998</v>
      </c>
      <c r="D126" s="260">
        <f t="shared" si="96"/>
        <v>0</v>
      </c>
      <c r="E126" s="260"/>
      <c r="F126" s="260"/>
      <c r="G126" s="260">
        <f t="shared" si="97"/>
        <v>0</v>
      </c>
      <c r="H126" s="260"/>
      <c r="I126" s="260"/>
      <c r="J126" s="260">
        <f t="shared" si="80"/>
        <v>0</v>
      </c>
      <c r="K126" s="260">
        <v>13998</v>
      </c>
      <c r="L126" s="260">
        <v>13998</v>
      </c>
      <c r="M126" s="260">
        <f t="shared" si="81"/>
        <v>0</v>
      </c>
      <c r="N126" s="260"/>
      <c r="O126" s="260"/>
      <c r="P126" s="260">
        <f t="shared" si="82"/>
        <v>0</v>
      </c>
      <c r="Q126" s="260"/>
      <c r="R126" s="260"/>
      <c r="S126" s="260">
        <f t="shared" si="83"/>
        <v>0</v>
      </c>
      <c r="T126" s="260"/>
      <c r="U126" s="260"/>
      <c r="V126" s="260">
        <f t="shared" si="84"/>
        <v>0</v>
      </c>
      <c r="W126" s="260"/>
      <c r="X126" s="260"/>
      <c r="Y126" s="260">
        <f t="shared" si="85"/>
        <v>0</v>
      </c>
      <c r="Z126" s="260"/>
      <c r="AA126" s="260"/>
      <c r="AB126" s="260">
        <f t="shared" si="86"/>
        <v>0</v>
      </c>
    </row>
    <row r="127" spans="1:28" s="254" customFormat="1" x14ac:dyDescent="0.25">
      <c r="A127" s="267" t="s">
        <v>220</v>
      </c>
      <c r="B127" s="260">
        <f t="shared" si="96"/>
        <v>13998</v>
      </c>
      <c r="C127" s="260">
        <f t="shared" si="96"/>
        <v>13998</v>
      </c>
      <c r="D127" s="260">
        <f t="shared" si="96"/>
        <v>0</v>
      </c>
      <c r="E127" s="260"/>
      <c r="F127" s="260"/>
      <c r="G127" s="260">
        <f t="shared" si="97"/>
        <v>0</v>
      </c>
      <c r="H127" s="260"/>
      <c r="I127" s="260"/>
      <c r="J127" s="260">
        <f t="shared" si="80"/>
        <v>0</v>
      </c>
      <c r="K127" s="260">
        <v>13998</v>
      </c>
      <c r="L127" s="260">
        <v>13998</v>
      </c>
      <c r="M127" s="260">
        <f t="shared" si="81"/>
        <v>0</v>
      </c>
      <c r="N127" s="260"/>
      <c r="O127" s="260"/>
      <c r="P127" s="260">
        <f t="shared" si="82"/>
        <v>0</v>
      </c>
      <c r="Q127" s="260"/>
      <c r="R127" s="260"/>
      <c r="S127" s="260">
        <f t="shared" si="83"/>
        <v>0</v>
      </c>
      <c r="T127" s="260"/>
      <c r="U127" s="260"/>
      <c r="V127" s="260">
        <f t="shared" si="84"/>
        <v>0</v>
      </c>
      <c r="W127" s="260"/>
      <c r="X127" s="260"/>
      <c r="Y127" s="260">
        <f t="shared" si="85"/>
        <v>0</v>
      </c>
      <c r="Z127" s="260"/>
      <c r="AA127" s="260"/>
      <c r="AB127" s="260">
        <f t="shared" si="86"/>
        <v>0</v>
      </c>
    </row>
    <row r="128" spans="1:28" s="254" customFormat="1" x14ac:dyDescent="0.25">
      <c r="A128" s="267" t="s">
        <v>63</v>
      </c>
      <c r="B128" s="260">
        <f t="shared" si="96"/>
        <v>13998</v>
      </c>
      <c r="C128" s="260">
        <f t="shared" si="96"/>
        <v>13998</v>
      </c>
      <c r="D128" s="260">
        <f t="shared" si="96"/>
        <v>0</v>
      </c>
      <c r="E128" s="260"/>
      <c r="F128" s="260"/>
      <c r="G128" s="260">
        <f t="shared" si="97"/>
        <v>0</v>
      </c>
      <c r="H128" s="260"/>
      <c r="I128" s="260"/>
      <c r="J128" s="260">
        <f t="shared" si="80"/>
        <v>0</v>
      </c>
      <c r="K128" s="260">
        <v>13998</v>
      </c>
      <c r="L128" s="260">
        <v>13998</v>
      </c>
      <c r="M128" s="260">
        <f t="shared" si="81"/>
        <v>0</v>
      </c>
      <c r="N128" s="260"/>
      <c r="O128" s="260"/>
      <c r="P128" s="260">
        <f t="shared" si="82"/>
        <v>0</v>
      </c>
      <c r="Q128" s="260"/>
      <c r="R128" s="260"/>
      <c r="S128" s="260">
        <f t="shared" si="83"/>
        <v>0</v>
      </c>
      <c r="T128" s="260"/>
      <c r="U128" s="260"/>
      <c r="V128" s="260">
        <f t="shared" si="84"/>
        <v>0</v>
      </c>
      <c r="W128" s="260"/>
      <c r="X128" s="260"/>
      <c r="Y128" s="260">
        <f t="shared" si="85"/>
        <v>0</v>
      </c>
      <c r="Z128" s="260"/>
      <c r="AA128" s="260"/>
      <c r="AB128" s="260">
        <f t="shared" si="86"/>
        <v>0</v>
      </c>
    </row>
    <row r="129" spans="1:28" s="254" customFormat="1" x14ac:dyDescent="0.25">
      <c r="A129" s="267" t="s">
        <v>65</v>
      </c>
      <c r="B129" s="260">
        <f t="shared" si="96"/>
        <v>13998</v>
      </c>
      <c r="C129" s="260">
        <f t="shared" si="96"/>
        <v>13998</v>
      </c>
      <c r="D129" s="260">
        <f t="shared" si="96"/>
        <v>0</v>
      </c>
      <c r="E129" s="260"/>
      <c r="F129" s="260"/>
      <c r="G129" s="260">
        <f t="shared" si="97"/>
        <v>0</v>
      </c>
      <c r="H129" s="260"/>
      <c r="I129" s="260"/>
      <c r="J129" s="260">
        <f t="shared" si="80"/>
        <v>0</v>
      </c>
      <c r="K129" s="260">
        <v>13998</v>
      </c>
      <c r="L129" s="260">
        <v>13998</v>
      </c>
      <c r="M129" s="260">
        <f t="shared" si="81"/>
        <v>0</v>
      </c>
      <c r="N129" s="260"/>
      <c r="O129" s="260"/>
      <c r="P129" s="260">
        <f t="shared" si="82"/>
        <v>0</v>
      </c>
      <c r="Q129" s="260"/>
      <c r="R129" s="260"/>
      <c r="S129" s="260">
        <f t="shared" si="83"/>
        <v>0</v>
      </c>
      <c r="T129" s="260"/>
      <c r="U129" s="260"/>
      <c r="V129" s="260">
        <f t="shared" si="84"/>
        <v>0</v>
      </c>
      <c r="W129" s="260"/>
      <c r="X129" s="260"/>
      <c r="Y129" s="260">
        <f t="shared" si="85"/>
        <v>0</v>
      </c>
      <c r="Z129" s="260"/>
      <c r="AA129" s="260"/>
      <c r="AB129" s="260">
        <f t="shared" si="86"/>
        <v>0</v>
      </c>
    </row>
    <row r="130" spans="1:28" s="254" customFormat="1" x14ac:dyDescent="0.25">
      <c r="A130" s="267" t="s">
        <v>66</v>
      </c>
      <c r="B130" s="260">
        <f t="shared" si="96"/>
        <v>15999</v>
      </c>
      <c r="C130" s="260">
        <f t="shared" si="96"/>
        <v>15999</v>
      </c>
      <c r="D130" s="260">
        <f t="shared" si="96"/>
        <v>0</v>
      </c>
      <c r="E130" s="260"/>
      <c r="F130" s="260"/>
      <c r="G130" s="260">
        <f t="shared" si="97"/>
        <v>0</v>
      </c>
      <c r="H130" s="260"/>
      <c r="I130" s="260"/>
      <c r="J130" s="260">
        <f t="shared" si="80"/>
        <v>0</v>
      </c>
      <c r="K130" s="260">
        <v>15999</v>
      </c>
      <c r="L130" s="260">
        <v>15999</v>
      </c>
      <c r="M130" s="260">
        <f t="shared" si="81"/>
        <v>0</v>
      </c>
      <c r="N130" s="260"/>
      <c r="O130" s="260"/>
      <c r="P130" s="260">
        <f t="shared" si="82"/>
        <v>0</v>
      </c>
      <c r="Q130" s="260"/>
      <c r="R130" s="260"/>
      <c r="S130" s="260">
        <f t="shared" si="83"/>
        <v>0</v>
      </c>
      <c r="T130" s="260"/>
      <c r="U130" s="260"/>
      <c r="V130" s="260">
        <f t="shared" si="84"/>
        <v>0</v>
      </c>
      <c r="W130" s="260"/>
      <c r="X130" s="260"/>
      <c r="Y130" s="260">
        <f t="shared" si="85"/>
        <v>0</v>
      </c>
      <c r="Z130" s="260"/>
      <c r="AA130" s="260"/>
      <c r="AB130" s="260">
        <f t="shared" si="86"/>
        <v>0</v>
      </c>
    </row>
    <row r="131" spans="1:28" s="254" customFormat="1" x14ac:dyDescent="0.25">
      <c r="A131" s="267" t="s">
        <v>67</v>
      </c>
      <c r="B131" s="260">
        <f t="shared" si="96"/>
        <v>10998</v>
      </c>
      <c r="C131" s="260">
        <f t="shared" si="96"/>
        <v>10998</v>
      </c>
      <c r="D131" s="260">
        <f t="shared" si="96"/>
        <v>0</v>
      </c>
      <c r="E131" s="260"/>
      <c r="F131" s="260"/>
      <c r="G131" s="260">
        <f t="shared" si="97"/>
        <v>0</v>
      </c>
      <c r="H131" s="260"/>
      <c r="I131" s="260"/>
      <c r="J131" s="260">
        <f t="shared" si="80"/>
        <v>0</v>
      </c>
      <c r="K131" s="260">
        <v>10998</v>
      </c>
      <c r="L131" s="260">
        <v>10998</v>
      </c>
      <c r="M131" s="260">
        <f t="shared" si="81"/>
        <v>0</v>
      </c>
      <c r="N131" s="260"/>
      <c r="O131" s="260"/>
      <c r="P131" s="260">
        <f t="shared" si="82"/>
        <v>0</v>
      </c>
      <c r="Q131" s="260"/>
      <c r="R131" s="260"/>
      <c r="S131" s="260">
        <f t="shared" si="83"/>
        <v>0</v>
      </c>
      <c r="T131" s="260"/>
      <c r="U131" s="260"/>
      <c r="V131" s="260">
        <f t="shared" si="84"/>
        <v>0</v>
      </c>
      <c r="W131" s="260"/>
      <c r="X131" s="260"/>
      <c r="Y131" s="260">
        <f t="shared" si="85"/>
        <v>0</v>
      </c>
      <c r="Z131" s="260"/>
      <c r="AA131" s="260"/>
      <c r="AB131" s="260">
        <f t="shared" si="86"/>
        <v>0</v>
      </c>
    </row>
    <row r="132" spans="1:28" s="254" customFormat="1" x14ac:dyDescent="0.25">
      <c r="A132" s="267" t="s">
        <v>68</v>
      </c>
      <c r="B132" s="260">
        <f t="shared" si="96"/>
        <v>15999</v>
      </c>
      <c r="C132" s="260">
        <f t="shared" si="96"/>
        <v>15999</v>
      </c>
      <c r="D132" s="260">
        <f t="shared" si="96"/>
        <v>0</v>
      </c>
      <c r="E132" s="260"/>
      <c r="F132" s="260"/>
      <c r="G132" s="260">
        <f t="shared" si="97"/>
        <v>0</v>
      </c>
      <c r="H132" s="260"/>
      <c r="I132" s="260"/>
      <c r="J132" s="260">
        <f t="shared" si="80"/>
        <v>0</v>
      </c>
      <c r="K132" s="260">
        <v>15999</v>
      </c>
      <c r="L132" s="260">
        <v>15999</v>
      </c>
      <c r="M132" s="260">
        <f t="shared" si="81"/>
        <v>0</v>
      </c>
      <c r="N132" s="260"/>
      <c r="O132" s="260"/>
      <c r="P132" s="260">
        <f t="shared" si="82"/>
        <v>0</v>
      </c>
      <c r="Q132" s="260"/>
      <c r="R132" s="260"/>
      <c r="S132" s="260">
        <f t="shared" si="83"/>
        <v>0</v>
      </c>
      <c r="T132" s="260"/>
      <c r="U132" s="260"/>
      <c r="V132" s="260">
        <f t="shared" si="84"/>
        <v>0</v>
      </c>
      <c r="W132" s="260"/>
      <c r="X132" s="260"/>
      <c r="Y132" s="260">
        <f t="shared" si="85"/>
        <v>0</v>
      </c>
      <c r="Z132" s="260"/>
      <c r="AA132" s="260"/>
      <c r="AB132" s="260">
        <f t="shared" si="86"/>
        <v>0</v>
      </c>
    </row>
    <row r="133" spans="1:28" s="254" customFormat="1" x14ac:dyDescent="0.25">
      <c r="A133" s="267" t="s">
        <v>221</v>
      </c>
      <c r="B133" s="260">
        <f t="shared" si="96"/>
        <v>13998</v>
      </c>
      <c r="C133" s="260">
        <f t="shared" si="96"/>
        <v>13998</v>
      </c>
      <c r="D133" s="260">
        <f t="shared" si="96"/>
        <v>0</v>
      </c>
      <c r="E133" s="260"/>
      <c r="F133" s="260"/>
      <c r="G133" s="260">
        <f t="shared" si="97"/>
        <v>0</v>
      </c>
      <c r="H133" s="260"/>
      <c r="I133" s="260"/>
      <c r="J133" s="260">
        <f t="shared" si="80"/>
        <v>0</v>
      </c>
      <c r="K133" s="260">
        <v>13998</v>
      </c>
      <c r="L133" s="260">
        <v>13998</v>
      </c>
      <c r="M133" s="260">
        <f t="shared" si="81"/>
        <v>0</v>
      </c>
      <c r="N133" s="260"/>
      <c r="O133" s="260"/>
      <c r="P133" s="260">
        <f t="shared" si="82"/>
        <v>0</v>
      </c>
      <c r="Q133" s="260"/>
      <c r="R133" s="260"/>
      <c r="S133" s="260">
        <f t="shared" si="83"/>
        <v>0</v>
      </c>
      <c r="T133" s="260"/>
      <c r="U133" s="260"/>
      <c r="V133" s="260">
        <f t="shared" si="84"/>
        <v>0</v>
      </c>
      <c r="W133" s="260"/>
      <c r="X133" s="260"/>
      <c r="Y133" s="260">
        <f t="shared" si="85"/>
        <v>0</v>
      </c>
      <c r="Z133" s="260"/>
      <c r="AA133" s="260"/>
      <c r="AB133" s="260">
        <f t="shared" si="86"/>
        <v>0</v>
      </c>
    </row>
    <row r="134" spans="1:28" s="254" customFormat="1" x14ac:dyDescent="0.25">
      <c r="A134" s="267" t="s">
        <v>222</v>
      </c>
      <c r="B134" s="260">
        <f t="shared" si="96"/>
        <v>13998</v>
      </c>
      <c r="C134" s="260">
        <f t="shared" si="96"/>
        <v>13998</v>
      </c>
      <c r="D134" s="260">
        <f t="shared" si="96"/>
        <v>0</v>
      </c>
      <c r="E134" s="260"/>
      <c r="F134" s="260"/>
      <c r="G134" s="260">
        <f t="shared" si="97"/>
        <v>0</v>
      </c>
      <c r="H134" s="260"/>
      <c r="I134" s="260"/>
      <c r="J134" s="260">
        <f t="shared" si="80"/>
        <v>0</v>
      </c>
      <c r="K134" s="260">
        <v>13998</v>
      </c>
      <c r="L134" s="260">
        <v>13998</v>
      </c>
      <c r="M134" s="260">
        <f t="shared" si="81"/>
        <v>0</v>
      </c>
      <c r="N134" s="260"/>
      <c r="O134" s="260"/>
      <c r="P134" s="260">
        <f t="shared" si="82"/>
        <v>0</v>
      </c>
      <c r="Q134" s="260"/>
      <c r="R134" s="260"/>
      <c r="S134" s="260">
        <f t="shared" si="83"/>
        <v>0</v>
      </c>
      <c r="T134" s="260"/>
      <c r="U134" s="260"/>
      <c r="V134" s="260">
        <f t="shared" si="84"/>
        <v>0</v>
      </c>
      <c r="W134" s="260"/>
      <c r="X134" s="260"/>
      <c r="Y134" s="260">
        <f t="shared" si="85"/>
        <v>0</v>
      </c>
      <c r="Z134" s="260"/>
      <c r="AA134" s="260"/>
      <c r="AB134" s="260">
        <f t="shared" si="86"/>
        <v>0</v>
      </c>
    </row>
    <row r="135" spans="1:28" s="254" customFormat="1" x14ac:dyDescent="0.25">
      <c r="A135" s="267" t="s">
        <v>73</v>
      </c>
      <c r="B135" s="260">
        <f t="shared" si="96"/>
        <v>15999</v>
      </c>
      <c r="C135" s="260">
        <f t="shared" si="96"/>
        <v>15999</v>
      </c>
      <c r="D135" s="260">
        <f t="shared" si="96"/>
        <v>0</v>
      </c>
      <c r="E135" s="260"/>
      <c r="F135" s="260"/>
      <c r="G135" s="260">
        <f t="shared" si="97"/>
        <v>0</v>
      </c>
      <c r="H135" s="260"/>
      <c r="I135" s="260"/>
      <c r="J135" s="260">
        <f t="shared" si="80"/>
        <v>0</v>
      </c>
      <c r="K135" s="260">
        <v>15999</v>
      </c>
      <c r="L135" s="260">
        <v>15999</v>
      </c>
      <c r="M135" s="260">
        <f t="shared" si="81"/>
        <v>0</v>
      </c>
      <c r="N135" s="260"/>
      <c r="O135" s="260"/>
      <c r="P135" s="260">
        <f t="shared" si="82"/>
        <v>0</v>
      </c>
      <c r="Q135" s="260"/>
      <c r="R135" s="260"/>
      <c r="S135" s="260">
        <f t="shared" si="83"/>
        <v>0</v>
      </c>
      <c r="T135" s="260"/>
      <c r="U135" s="260"/>
      <c r="V135" s="260">
        <f t="shared" si="84"/>
        <v>0</v>
      </c>
      <c r="W135" s="260"/>
      <c r="X135" s="260"/>
      <c r="Y135" s="260">
        <f t="shared" si="85"/>
        <v>0</v>
      </c>
      <c r="Z135" s="260"/>
      <c r="AA135" s="260"/>
      <c r="AB135" s="260">
        <f t="shared" si="86"/>
        <v>0</v>
      </c>
    </row>
    <row r="136" spans="1:28" s="254" customFormat="1" x14ac:dyDescent="0.25">
      <c r="A136" s="267" t="s">
        <v>74</v>
      </c>
      <c r="B136" s="260">
        <f t="shared" si="96"/>
        <v>10998</v>
      </c>
      <c r="C136" s="260">
        <f t="shared" si="96"/>
        <v>10998</v>
      </c>
      <c r="D136" s="260">
        <f t="shared" si="96"/>
        <v>0</v>
      </c>
      <c r="E136" s="260"/>
      <c r="F136" s="260"/>
      <c r="G136" s="260">
        <f t="shared" si="97"/>
        <v>0</v>
      </c>
      <c r="H136" s="260"/>
      <c r="I136" s="260"/>
      <c r="J136" s="260">
        <f t="shared" si="80"/>
        <v>0</v>
      </c>
      <c r="K136" s="260">
        <v>10998</v>
      </c>
      <c r="L136" s="260">
        <v>10998</v>
      </c>
      <c r="M136" s="260">
        <f t="shared" si="81"/>
        <v>0</v>
      </c>
      <c r="N136" s="260"/>
      <c r="O136" s="260"/>
      <c r="P136" s="260">
        <f t="shared" si="82"/>
        <v>0</v>
      </c>
      <c r="Q136" s="260"/>
      <c r="R136" s="260"/>
      <c r="S136" s="260">
        <f t="shared" si="83"/>
        <v>0</v>
      </c>
      <c r="T136" s="260"/>
      <c r="U136" s="260"/>
      <c r="V136" s="260">
        <f t="shared" si="84"/>
        <v>0</v>
      </c>
      <c r="W136" s="260"/>
      <c r="X136" s="260"/>
      <c r="Y136" s="260">
        <f t="shared" si="85"/>
        <v>0</v>
      </c>
      <c r="Z136" s="260"/>
      <c r="AA136" s="260"/>
      <c r="AB136" s="260">
        <f t="shared" si="86"/>
        <v>0</v>
      </c>
    </row>
    <row r="137" spans="1:28" s="254" customFormat="1" x14ac:dyDescent="0.25">
      <c r="A137" s="267" t="s">
        <v>75</v>
      </c>
      <c r="B137" s="260">
        <f t="shared" si="96"/>
        <v>13998</v>
      </c>
      <c r="C137" s="260">
        <f t="shared" si="96"/>
        <v>13998</v>
      </c>
      <c r="D137" s="260">
        <f t="shared" si="96"/>
        <v>0</v>
      </c>
      <c r="E137" s="260"/>
      <c r="F137" s="260"/>
      <c r="G137" s="260">
        <f t="shared" si="97"/>
        <v>0</v>
      </c>
      <c r="H137" s="260"/>
      <c r="I137" s="260"/>
      <c r="J137" s="260">
        <f t="shared" si="80"/>
        <v>0</v>
      </c>
      <c r="K137" s="260">
        <v>13998</v>
      </c>
      <c r="L137" s="260">
        <v>13998</v>
      </c>
      <c r="M137" s="260">
        <f t="shared" si="81"/>
        <v>0</v>
      </c>
      <c r="N137" s="260"/>
      <c r="O137" s="260"/>
      <c r="P137" s="260">
        <f t="shared" si="82"/>
        <v>0</v>
      </c>
      <c r="Q137" s="260"/>
      <c r="R137" s="260"/>
      <c r="S137" s="260">
        <f t="shared" si="83"/>
        <v>0</v>
      </c>
      <c r="T137" s="260"/>
      <c r="U137" s="260"/>
      <c r="V137" s="260">
        <f t="shared" si="84"/>
        <v>0</v>
      </c>
      <c r="W137" s="260"/>
      <c r="X137" s="260"/>
      <c r="Y137" s="260">
        <f t="shared" si="85"/>
        <v>0</v>
      </c>
      <c r="Z137" s="260"/>
      <c r="AA137" s="260"/>
      <c r="AB137" s="260">
        <f t="shared" si="86"/>
        <v>0</v>
      </c>
    </row>
    <row r="138" spans="1:28" s="254" customFormat="1" x14ac:dyDescent="0.25">
      <c r="A138" s="267" t="s">
        <v>76</v>
      </c>
      <c r="B138" s="260">
        <f t="shared" si="96"/>
        <v>10998</v>
      </c>
      <c r="C138" s="260">
        <f t="shared" si="96"/>
        <v>10998</v>
      </c>
      <c r="D138" s="260">
        <f t="shared" si="96"/>
        <v>0</v>
      </c>
      <c r="E138" s="260"/>
      <c r="F138" s="260"/>
      <c r="G138" s="260">
        <f t="shared" si="97"/>
        <v>0</v>
      </c>
      <c r="H138" s="260"/>
      <c r="I138" s="260"/>
      <c r="J138" s="260">
        <f t="shared" si="80"/>
        <v>0</v>
      </c>
      <c r="K138" s="260">
        <v>10998</v>
      </c>
      <c r="L138" s="260">
        <v>10998</v>
      </c>
      <c r="M138" s="260">
        <f t="shared" si="81"/>
        <v>0</v>
      </c>
      <c r="N138" s="260"/>
      <c r="O138" s="260"/>
      <c r="P138" s="260">
        <f t="shared" si="82"/>
        <v>0</v>
      </c>
      <c r="Q138" s="260"/>
      <c r="R138" s="260"/>
      <c r="S138" s="260">
        <f t="shared" si="83"/>
        <v>0</v>
      </c>
      <c r="T138" s="260"/>
      <c r="U138" s="260"/>
      <c r="V138" s="260">
        <f t="shared" si="84"/>
        <v>0</v>
      </c>
      <c r="W138" s="260"/>
      <c r="X138" s="260"/>
      <c r="Y138" s="260">
        <f t="shared" si="85"/>
        <v>0</v>
      </c>
      <c r="Z138" s="260"/>
      <c r="AA138" s="260"/>
      <c r="AB138" s="260">
        <f t="shared" si="86"/>
        <v>0</v>
      </c>
    </row>
    <row r="139" spans="1:28" s="254" customFormat="1" x14ac:dyDescent="0.25">
      <c r="A139" s="267" t="s">
        <v>223</v>
      </c>
      <c r="B139" s="260">
        <f t="shared" si="96"/>
        <v>10998</v>
      </c>
      <c r="C139" s="260">
        <f t="shared" si="96"/>
        <v>10998</v>
      </c>
      <c r="D139" s="260">
        <f t="shared" si="96"/>
        <v>0</v>
      </c>
      <c r="E139" s="260"/>
      <c r="F139" s="260"/>
      <c r="G139" s="260">
        <f t="shared" si="97"/>
        <v>0</v>
      </c>
      <c r="H139" s="260"/>
      <c r="I139" s="260"/>
      <c r="J139" s="260">
        <f t="shared" si="80"/>
        <v>0</v>
      </c>
      <c r="K139" s="260">
        <v>10998</v>
      </c>
      <c r="L139" s="260">
        <v>10998</v>
      </c>
      <c r="M139" s="260">
        <f t="shared" si="81"/>
        <v>0</v>
      </c>
      <c r="N139" s="260"/>
      <c r="O139" s="260"/>
      <c r="P139" s="260">
        <f t="shared" si="82"/>
        <v>0</v>
      </c>
      <c r="Q139" s="260"/>
      <c r="R139" s="260"/>
      <c r="S139" s="260">
        <f t="shared" si="83"/>
        <v>0</v>
      </c>
      <c r="T139" s="260"/>
      <c r="U139" s="260"/>
      <c r="V139" s="260">
        <f t="shared" si="84"/>
        <v>0</v>
      </c>
      <c r="W139" s="260"/>
      <c r="X139" s="260"/>
      <c r="Y139" s="260">
        <f t="shared" si="85"/>
        <v>0</v>
      </c>
      <c r="Z139" s="260"/>
      <c r="AA139" s="260"/>
      <c r="AB139" s="260">
        <f t="shared" si="86"/>
        <v>0</v>
      </c>
    </row>
    <row r="140" spans="1:28" s="254" customFormat="1" x14ac:dyDescent="0.25">
      <c r="A140" s="267" t="s">
        <v>78</v>
      </c>
      <c r="B140" s="260">
        <f t="shared" si="96"/>
        <v>4000</v>
      </c>
      <c r="C140" s="260">
        <f t="shared" si="96"/>
        <v>4000</v>
      </c>
      <c r="D140" s="260">
        <f t="shared" si="96"/>
        <v>0</v>
      </c>
      <c r="E140" s="260"/>
      <c r="F140" s="260"/>
      <c r="G140" s="260">
        <f t="shared" si="97"/>
        <v>0</v>
      </c>
      <c r="H140" s="260"/>
      <c r="I140" s="260"/>
      <c r="J140" s="260">
        <f t="shared" si="80"/>
        <v>0</v>
      </c>
      <c r="K140" s="260">
        <v>4000</v>
      </c>
      <c r="L140" s="260">
        <v>4000</v>
      </c>
      <c r="M140" s="260">
        <f t="shared" si="81"/>
        <v>0</v>
      </c>
      <c r="N140" s="260"/>
      <c r="O140" s="260"/>
      <c r="P140" s="260">
        <f t="shared" si="82"/>
        <v>0</v>
      </c>
      <c r="Q140" s="260"/>
      <c r="R140" s="260"/>
      <c r="S140" s="260">
        <f t="shared" si="83"/>
        <v>0</v>
      </c>
      <c r="T140" s="260"/>
      <c r="U140" s="260"/>
      <c r="V140" s="260">
        <f t="shared" si="84"/>
        <v>0</v>
      </c>
      <c r="W140" s="260"/>
      <c r="X140" s="260"/>
      <c r="Y140" s="260">
        <f t="shared" si="85"/>
        <v>0</v>
      </c>
      <c r="Z140" s="260"/>
      <c r="AA140" s="260"/>
      <c r="AB140" s="260">
        <f t="shared" si="86"/>
        <v>0</v>
      </c>
    </row>
    <row r="141" spans="1:28" s="254" customFormat="1" x14ac:dyDescent="0.25">
      <c r="A141" s="267" t="s">
        <v>79</v>
      </c>
      <c r="B141" s="260">
        <f t="shared" si="96"/>
        <v>9000</v>
      </c>
      <c r="C141" s="260">
        <f t="shared" si="96"/>
        <v>9000</v>
      </c>
      <c r="D141" s="260">
        <f t="shared" si="96"/>
        <v>0</v>
      </c>
      <c r="E141" s="260"/>
      <c r="F141" s="260"/>
      <c r="G141" s="260">
        <f t="shared" si="97"/>
        <v>0</v>
      </c>
      <c r="H141" s="260"/>
      <c r="I141" s="260"/>
      <c r="J141" s="260">
        <f t="shared" si="80"/>
        <v>0</v>
      </c>
      <c r="K141" s="260">
        <v>9000</v>
      </c>
      <c r="L141" s="260">
        <v>9000</v>
      </c>
      <c r="M141" s="260">
        <f t="shared" si="81"/>
        <v>0</v>
      </c>
      <c r="N141" s="260"/>
      <c r="O141" s="260"/>
      <c r="P141" s="260">
        <f t="shared" si="82"/>
        <v>0</v>
      </c>
      <c r="Q141" s="260"/>
      <c r="R141" s="260"/>
      <c r="S141" s="260">
        <f t="shared" si="83"/>
        <v>0</v>
      </c>
      <c r="T141" s="260"/>
      <c r="U141" s="260"/>
      <c r="V141" s="260">
        <f t="shared" si="84"/>
        <v>0</v>
      </c>
      <c r="W141" s="260"/>
      <c r="X141" s="260"/>
      <c r="Y141" s="260">
        <f t="shared" si="85"/>
        <v>0</v>
      </c>
      <c r="Z141" s="260"/>
      <c r="AA141" s="260"/>
      <c r="AB141" s="260">
        <f t="shared" si="86"/>
        <v>0</v>
      </c>
    </row>
    <row r="142" spans="1:28" s="254" customFormat="1" x14ac:dyDescent="0.25">
      <c r="A142" s="267" t="s">
        <v>80</v>
      </c>
      <c r="B142" s="260">
        <f t="shared" si="96"/>
        <v>10998</v>
      </c>
      <c r="C142" s="260">
        <f t="shared" si="96"/>
        <v>10998</v>
      </c>
      <c r="D142" s="260">
        <f t="shared" si="96"/>
        <v>0</v>
      </c>
      <c r="E142" s="260"/>
      <c r="F142" s="260"/>
      <c r="G142" s="260">
        <f t="shared" si="97"/>
        <v>0</v>
      </c>
      <c r="H142" s="260"/>
      <c r="I142" s="260"/>
      <c r="J142" s="260">
        <f t="shared" si="80"/>
        <v>0</v>
      </c>
      <c r="K142" s="260">
        <v>10998</v>
      </c>
      <c r="L142" s="260">
        <v>10998</v>
      </c>
      <c r="M142" s="260">
        <f t="shared" si="81"/>
        <v>0</v>
      </c>
      <c r="N142" s="260"/>
      <c r="O142" s="260"/>
      <c r="P142" s="260">
        <f t="shared" si="82"/>
        <v>0</v>
      </c>
      <c r="Q142" s="260"/>
      <c r="R142" s="260"/>
      <c r="S142" s="260">
        <f t="shared" si="83"/>
        <v>0</v>
      </c>
      <c r="T142" s="260"/>
      <c r="U142" s="260"/>
      <c r="V142" s="260">
        <f t="shared" si="84"/>
        <v>0</v>
      </c>
      <c r="W142" s="260"/>
      <c r="X142" s="260"/>
      <c r="Y142" s="260">
        <f t="shared" si="85"/>
        <v>0</v>
      </c>
      <c r="Z142" s="260"/>
      <c r="AA142" s="260"/>
      <c r="AB142" s="260">
        <f t="shared" si="86"/>
        <v>0</v>
      </c>
    </row>
    <row r="143" spans="1:28" s="254" customFormat="1" x14ac:dyDescent="0.25">
      <c r="A143" s="267" t="s">
        <v>81</v>
      </c>
      <c r="B143" s="260">
        <f t="shared" si="96"/>
        <v>17000</v>
      </c>
      <c r="C143" s="260">
        <f t="shared" si="96"/>
        <v>17000</v>
      </c>
      <c r="D143" s="260">
        <f t="shared" si="96"/>
        <v>0</v>
      </c>
      <c r="E143" s="260"/>
      <c r="F143" s="260"/>
      <c r="G143" s="260">
        <f t="shared" si="97"/>
        <v>0</v>
      </c>
      <c r="H143" s="260"/>
      <c r="I143" s="260"/>
      <c r="J143" s="260">
        <f t="shared" si="80"/>
        <v>0</v>
      </c>
      <c r="K143" s="260">
        <v>17000</v>
      </c>
      <c r="L143" s="260">
        <v>17000</v>
      </c>
      <c r="M143" s="260">
        <f t="shared" si="81"/>
        <v>0</v>
      </c>
      <c r="N143" s="260"/>
      <c r="O143" s="260"/>
      <c r="P143" s="260">
        <f t="shared" si="82"/>
        <v>0</v>
      </c>
      <c r="Q143" s="260"/>
      <c r="R143" s="260"/>
      <c r="S143" s="260">
        <f t="shared" si="83"/>
        <v>0</v>
      </c>
      <c r="T143" s="260"/>
      <c r="U143" s="260"/>
      <c r="V143" s="260">
        <f t="shared" si="84"/>
        <v>0</v>
      </c>
      <c r="W143" s="260"/>
      <c r="X143" s="260"/>
      <c r="Y143" s="260">
        <f t="shared" si="85"/>
        <v>0</v>
      </c>
      <c r="Z143" s="260"/>
      <c r="AA143" s="260"/>
      <c r="AB143" s="260">
        <f t="shared" si="86"/>
        <v>0</v>
      </c>
    </row>
    <row r="144" spans="1:28" s="254" customFormat="1" x14ac:dyDescent="0.25">
      <c r="A144" s="267" t="s">
        <v>224</v>
      </c>
      <c r="B144" s="260">
        <f t="shared" ref="B144:D229" si="111">E144+H144+K144+N144+Q144+T144+Z144+W144</f>
        <v>16999</v>
      </c>
      <c r="C144" s="260">
        <f t="shared" si="111"/>
        <v>16999</v>
      </c>
      <c r="D144" s="260">
        <f t="shared" si="111"/>
        <v>0</v>
      </c>
      <c r="E144" s="260"/>
      <c r="F144" s="260"/>
      <c r="G144" s="260">
        <f t="shared" si="97"/>
        <v>0</v>
      </c>
      <c r="H144" s="260"/>
      <c r="I144" s="260"/>
      <c r="J144" s="260">
        <f t="shared" si="80"/>
        <v>0</v>
      </c>
      <c r="K144" s="260">
        <v>16999</v>
      </c>
      <c r="L144" s="260">
        <v>16999</v>
      </c>
      <c r="M144" s="260">
        <f t="shared" si="81"/>
        <v>0</v>
      </c>
      <c r="N144" s="260"/>
      <c r="O144" s="260"/>
      <c r="P144" s="260">
        <f t="shared" si="82"/>
        <v>0</v>
      </c>
      <c r="Q144" s="260"/>
      <c r="R144" s="260"/>
      <c r="S144" s="260">
        <f t="shared" si="83"/>
        <v>0</v>
      </c>
      <c r="T144" s="260"/>
      <c r="U144" s="260"/>
      <c r="V144" s="260">
        <f t="shared" si="84"/>
        <v>0</v>
      </c>
      <c r="W144" s="260"/>
      <c r="X144" s="260"/>
      <c r="Y144" s="260">
        <f t="shared" si="85"/>
        <v>0</v>
      </c>
      <c r="Z144" s="260"/>
      <c r="AA144" s="260"/>
      <c r="AB144" s="260">
        <f t="shared" si="86"/>
        <v>0</v>
      </c>
    </row>
    <row r="145" spans="1:189" s="254" customFormat="1" x14ac:dyDescent="0.25">
      <c r="A145" s="267" t="s">
        <v>83</v>
      </c>
      <c r="B145" s="260">
        <f t="shared" si="111"/>
        <v>17000</v>
      </c>
      <c r="C145" s="260">
        <f t="shared" si="111"/>
        <v>17000</v>
      </c>
      <c r="D145" s="260">
        <f t="shared" si="111"/>
        <v>0</v>
      </c>
      <c r="E145" s="260"/>
      <c r="F145" s="260"/>
      <c r="G145" s="260">
        <f t="shared" si="97"/>
        <v>0</v>
      </c>
      <c r="H145" s="260"/>
      <c r="I145" s="260"/>
      <c r="J145" s="260">
        <f t="shared" si="80"/>
        <v>0</v>
      </c>
      <c r="K145" s="260">
        <v>17000</v>
      </c>
      <c r="L145" s="260">
        <v>17000</v>
      </c>
      <c r="M145" s="260">
        <f t="shared" si="81"/>
        <v>0</v>
      </c>
      <c r="N145" s="260"/>
      <c r="O145" s="260"/>
      <c r="P145" s="260">
        <f t="shared" si="82"/>
        <v>0</v>
      </c>
      <c r="Q145" s="260"/>
      <c r="R145" s="260"/>
      <c r="S145" s="260">
        <f t="shared" si="83"/>
        <v>0</v>
      </c>
      <c r="T145" s="260"/>
      <c r="U145" s="260"/>
      <c r="V145" s="260">
        <f t="shared" si="84"/>
        <v>0</v>
      </c>
      <c r="W145" s="260"/>
      <c r="X145" s="260"/>
      <c r="Y145" s="260">
        <f t="shared" si="85"/>
        <v>0</v>
      </c>
      <c r="Z145" s="260"/>
      <c r="AA145" s="260"/>
      <c r="AB145" s="260">
        <f t="shared" si="86"/>
        <v>0</v>
      </c>
    </row>
    <row r="146" spans="1:189" s="254" customFormat="1" x14ac:dyDescent="0.25">
      <c r="A146" s="267" t="s">
        <v>225</v>
      </c>
      <c r="B146" s="260">
        <f t="shared" si="111"/>
        <v>16999</v>
      </c>
      <c r="C146" s="260">
        <f t="shared" si="111"/>
        <v>16999</v>
      </c>
      <c r="D146" s="260">
        <f t="shared" si="111"/>
        <v>0</v>
      </c>
      <c r="E146" s="260"/>
      <c r="F146" s="260"/>
      <c r="G146" s="260">
        <f t="shared" si="97"/>
        <v>0</v>
      </c>
      <c r="H146" s="260"/>
      <c r="I146" s="260"/>
      <c r="J146" s="260">
        <f t="shared" si="80"/>
        <v>0</v>
      </c>
      <c r="K146" s="260">
        <v>16999</v>
      </c>
      <c r="L146" s="260">
        <v>16999</v>
      </c>
      <c r="M146" s="260">
        <f t="shared" si="81"/>
        <v>0</v>
      </c>
      <c r="N146" s="260"/>
      <c r="O146" s="260"/>
      <c r="P146" s="260">
        <f t="shared" si="82"/>
        <v>0</v>
      </c>
      <c r="Q146" s="260"/>
      <c r="R146" s="260"/>
      <c r="S146" s="260">
        <f t="shared" si="83"/>
        <v>0</v>
      </c>
      <c r="T146" s="260"/>
      <c r="U146" s="260"/>
      <c r="V146" s="260">
        <f t="shared" si="84"/>
        <v>0</v>
      </c>
      <c r="W146" s="260"/>
      <c r="X146" s="260"/>
      <c r="Y146" s="260">
        <f t="shared" si="85"/>
        <v>0</v>
      </c>
      <c r="Z146" s="260"/>
      <c r="AA146" s="260"/>
      <c r="AB146" s="260">
        <f t="shared" si="86"/>
        <v>0</v>
      </c>
    </row>
    <row r="147" spans="1:189" s="254" customFormat="1" ht="63" x14ac:dyDescent="0.25">
      <c r="A147" s="267" t="s">
        <v>233</v>
      </c>
      <c r="B147" s="260">
        <f t="shared" si="111"/>
        <v>29264</v>
      </c>
      <c r="C147" s="260">
        <f t="shared" si="111"/>
        <v>29264</v>
      </c>
      <c r="D147" s="260">
        <f t="shared" si="111"/>
        <v>0</v>
      </c>
      <c r="E147" s="260"/>
      <c r="F147" s="260"/>
      <c r="G147" s="260">
        <f>F147-E147</f>
        <v>0</v>
      </c>
      <c r="H147" s="260"/>
      <c r="I147" s="260"/>
      <c r="J147" s="260">
        <f>I147-H147</f>
        <v>0</v>
      </c>
      <c r="K147" s="260">
        <v>29264</v>
      </c>
      <c r="L147" s="260">
        <v>29264</v>
      </c>
      <c r="M147" s="260">
        <f>L147-K147</f>
        <v>0</v>
      </c>
      <c r="N147" s="260"/>
      <c r="O147" s="260"/>
      <c r="P147" s="260">
        <f>O147-N147</f>
        <v>0</v>
      </c>
      <c r="Q147" s="260"/>
      <c r="R147" s="260"/>
      <c r="S147" s="260">
        <f>R147-Q147</f>
        <v>0</v>
      </c>
      <c r="T147" s="260"/>
      <c r="U147" s="260"/>
      <c r="V147" s="260">
        <f>U147-T147</f>
        <v>0</v>
      </c>
      <c r="W147" s="260"/>
      <c r="X147" s="260"/>
      <c r="Y147" s="260">
        <f>X147-W147</f>
        <v>0</v>
      </c>
      <c r="Z147" s="260"/>
      <c r="AA147" s="260"/>
      <c r="AB147" s="260">
        <f>AA147-Z147</f>
        <v>0</v>
      </c>
    </row>
    <row r="148" spans="1:189" s="251" customFormat="1" ht="31.5" x14ac:dyDescent="0.25">
      <c r="A148" s="252" t="s">
        <v>85</v>
      </c>
      <c r="B148" s="253">
        <f t="shared" si="111"/>
        <v>2187698</v>
      </c>
      <c r="C148" s="253">
        <f t="shared" si="111"/>
        <v>1836770</v>
      </c>
      <c r="D148" s="253">
        <f t="shared" si="111"/>
        <v>-350928</v>
      </c>
      <c r="E148" s="253">
        <f t="shared" ref="E148:AA148" si="112">SUM(E149)</f>
        <v>357520</v>
      </c>
      <c r="F148" s="253">
        <f t="shared" si="112"/>
        <v>207520</v>
      </c>
      <c r="G148" s="253">
        <f t="shared" si="97"/>
        <v>-150000</v>
      </c>
      <c r="H148" s="253">
        <f t="shared" si="112"/>
        <v>5362</v>
      </c>
      <c r="I148" s="253">
        <f t="shared" si="112"/>
        <v>155362</v>
      </c>
      <c r="J148" s="253">
        <f t="shared" ref="J148:J149" si="113">I148-H148</f>
        <v>150000</v>
      </c>
      <c r="K148" s="253">
        <f t="shared" si="112"/>
        <v>139300</v>
      </c>
      <c r="L148" s="253">
        <f t="shared" si="112"/>
        <v>164250</v>
      </c>
      <c r="M148" s="253">
        <f t="shared" ref="M148:M149" si="114">L148-K148</f>
        <v>24950</v>
      </c>
      <c r="N148" s="253">
        <f t="shared" si="112"/>
        <v>1681880</v>
      </c>
      <c r="O148" s="253">
        <f t="shared" si="112"/>
        <v>1306002</v>
      </c>
      <c r="P148" s="253">
        <f t="shared" ref="P148:P149" si="115">O148-N148</f>
        <v>-375878</v>
      </c>
      <c r="Q148" s="253">
        <f t="shared" si="112"/>
        <v>0</v>
      </c>
      <c r="R148" s="253">
        <f t="shared" si="112"/>
        <v>0</v>
      </c>
      <c r="S148" s="253">
        <f t="shared" ref="S148:S149" si="116">R148-Q148</f>
        <v>0</v>
      </c>
      <c r="T148" s="253">
        <f t="shared" si="112"/>
        <v>3636</v>
      </c>
      <c r="U148" s="253">
        <f t="shared" si="112"/>
        <v>3636</v>
      </c>
      <c r="V148" s="253">
        <f t="shared" ref="V148:V149" si="117">U148-T148</f>
        <v>0</v>
      </c>
      <c r="W148" s="253">
        <f t="shared" si="112"/>
        <v>0</v>
      </c>
      <c r="X148" s="253">
        <f t="shared" si="112"/>
        <v>0</v>
      </c>
      <c r="Y148" s="253">
        <f t="shared" ref="Y148:Y149" si="118">X148-W148</f>
        <v>0</v>
      </c>
      <c r="Z148" s="253">
        <f t="shared" si="112"/>
        <v>0</v>
      </c>
      <c r="AA148" s="253">
        <f t="shared" si="112"/>
        <v>0</v>
      </c>
      <c r="AB148" s="253">
        <f t="shared" ref="AB148:AB149" si="119">AA148-Z148</f>
        <v>0</v>
      </c>
    </row>
    <row r="149" spans="1:189" s="254" customFormat="1" x14ac:dyDescent="0.25">
      <c r="A149" s="252" t="s">
        <v>13</v>
      </c>
      <c r="B149" s="253">
        <f t="shared" si="111"/>
        <v>2187698</v>
      </c>
      <c r="C149" s="253">
        <f t="shared" si="111"/>
        <v>1836770</v>
      </c>
      <c r="D149" s="253">
        <f t="shared" si="111"/>
        <v>-350928</v>
      </c>
      <c r="E149" s="253">
        <f>SUM(E150:E169)</f>
        <v>357520</v>
      </c>
      <c r="F149" s="253">
        <f>SUM(F150:F169)</f>
        <v>207520</v>
      </c>
      <c r="G149" s="253">
        <f t="shared" si="97"/>
        <v>-150000</v>
      </c>
      <c r="H149" s="253">
        <f t="shared" ref="H149" si="120">SUM(H150:H169)</f>
        <v>5362</v>
      </c>
      <c r="I149" s="253">
        <f t="shared" ref="I149" si="121">SUM(I150:I169)</f>
        <v>155362</v>
      </c>
      <c r="J149" s="253">
        <f t="shared" si="113"/>
        <v>150000</v>
      </c>
      <c r="K149" s="253">
        <f t="shared" ref="K149" si="122">SUM(K150:K169)</f>
        <v>139300</v>
      </c>
      <c r="L149" s="253">
        <f t="shared" ref="L149" si="123">SUM(L150:L169)</f>
        <v>164250</v>
      </c>
      <c r="M149" s="253">
        <f t="shared" si="114"/>
        <v>24950</v>
      </c>
      <c r="N149" s="253">
        <f t="shared" ref="N149" si="124">SUM(N150:N169)</f>
        <v>1681880</v>
      </c>
      <c r="O149" s="253">
        <f t="shared" ref="O149" si="125">SUM(O150:O169)</f>
        <v>1306002</v>
      </c>
      <c r="P149" s="253">
        <f t="shared" si="115"/>
        <v>-375878</v>
      </c>
      <c r="Q149" s="253">
        <f t="shared" ref="Q149" si="126">SUM(Q150:Q169)</f>
        <v>0</v>
      </c>
      <c r="R149" s="253">
        <f t="shared" ref="R149" si="127">SUM(R150:R169)</f>
        <v>0</v>
      </c>
      <c r="S149" s="253">
        <f t="shared" si="116"/>
        <v>0</v>
      </c>
      <c r="T149" s="253">
        <f t="shared" ref="T149" si="128">SUM(T150:T169)</f>
        <v>3636</v>
      </c>
      <c r="U149" s="253">
        <f t="shared" ref="U149" si="129">SUM(U150:U169)</f>
        <v>3636</v>
      </c>
      <c r="V149" s="253">
        <f t="shared" si="117"/>
        <v>0</v>
      </c>
      <c r="W149" s="253">
        <f t="shared" ref="W149:X149" si="130">SUM(W150:W169)</f>
        <v>0</v>
      </c>
      <c r="X149" s="253">
        <f t="shared" si="130"/>
        <v>0</v>
      </c>
      <c r="Y149" s="253">
        <f t="shared" si="118"/>
        <v>0</v>
      </c>
      <c r="Z149" s="253">
        <f t="shared" ref="Z149" si="131">SUM(Z150:Z169)</f>
        <v>0</v>
      </c>
      <c r="AA149" s="253">
        <f t="shared" ref="AA149" si="132">SUM(AA150:AA169)</f>
        <v>0</v>
      </c>
      <c r="AB149" s="253">
        <f t="shared" si="119"/>
        <v>0</v>
      </c>
      <c r="AC149" s="251"/>
      <c r="AD149" s="251"/>
      <c r="AE149" s="251"/>
      <c r="AF149" s="251"/>
      <c r="AG149" s="251"/>
      <c r="AH149" s="251"/>
      <c r="AI149" s="251"/>
      <c r="AJ149" s="251"/>
      <c r="AK149" s="251"/>
      <c r="AL149" s="251"/>
      <c r="AM149" s="251"/>
      <c r="AN149" s="251"/>
      <c r="AO149" s="251"/>
      <c r="AP149" s="251"/>
      <c r="AQ149" s="251"/>
      <c r="AR149" s="251"/>
      <c r="AS149" s="251"/>
      <c r="AT149" s="251"/>
      <c r="AU149" s="251"/>
      <c r="AV149" s="251"/>
      <c r="AW149" s="251"/>
      <c r="AX149" s="251"/>
      <c r="AY149" s="251"/>
      <c r="AZ149" s="251"/>
      <c r="BA149" s="251"/>
      <c r="BB149" s="251"/>
      <c r="BC149" s="251"/>
      <c r="BD149" s="251"/>
      <c r="BE149" s="251"/>
      <c r="BF149" s="251"/>
      <c r="BG149" s="251"/>
      <c r="BH149" s="251"/>
      <c r="BI149" s="251"/>
      <c r="BJ149" s="251"/>
      <c r="BK149" s="251"/>
      <c r="BL149" s="251"/>
      <c r="BM149" s="251"/>
      <c r="BN149" s="251"/>
      <c r="BO149" s="251"/>
      <c r="BP149" s="251"/>
      <c r="BQ149" s="251"/>
      <c r="BR149" s="251"/>
      <c r="BS149" s="251"/>
      <c r="BT149" s="251"/>
      <c r="BU149" s="251"/>
      <c r="BV149" s="251"/>
      <c r="BW149" s="251"/>
      <c r="BX149" s="251"/>
      <c r="BY149" s="251"/>
      <c r="BZ149" s="251"/>
      <c r="CA149" s="251"/>
      <c r="CB149" s="251"/>
      <c r="CC149" s="251"/>
      <c r="CD149" s="251"/>
      <c r="CE149" s="251"/>
      <c r="CF149" s="251"/>
      <c r="CG149" s="251"/>
      <c r="CH149" s="251"/>
      <c r="CI149" s="251"/>
      <c r="CJ149" s="251"/>
      <c r="CK149" s="251"/>
      <c r="CL149" s="251"/>
      <c r="CM149" s="251"/>
      <c r="CN149" s="251"/>
      <c r="CO149" s="251"/>
      <c r="CP149" s="251"/>
      <c r="CQ149" s="251"/>
      <c r="CR149" s="251"/>
      <c r="CS149" s="251"/>
      <c r="CT149" s="251"/>
      <c r="CU149" s="251"/>
      <c r="CV149" s="251"/>
      <c r="CW149" s="251"/>
      <c r="CX149" s="251"/>
      <c r="CY149" s="251"/>
      <c r="CZ149" s="251"/>
      <c r="DA149" s="251"/>
      <c r="DB149" s="251"/>
      <c r="DC149" s="251"/>
      <c r="DD149" s="251"/>
      <c r="DE149" s="251"/>
      <c r="DF149" s="251"/>
      <c r="DG149" s="251"/>
      <c r="DH149" s="251"/>
      <c r="DI149" s="251"/>
      <c r="DJ149" s="251"/>
      <c r="DK149" s="251"/>
      <c r="DL149" s="251"/>
      <c r="DM149" s="251"/>
      <c r="DN149" s="251"/>
      <c r="DO149" s="251"/>
      <c r="DP149" s="251"/>
      <c r="DQ149" s="251"/>
      <c r="DR149" s="251"/>
      <c r="DS149" s="251"/>
      <c r="DT149" s="251"/>
      <c r="DU149" s="251"/>
      <c r="DV149" s="251"/>
      <c r="DW149" s="251"/>
      <c r="DX149" s="251"/>
      <c r="DY149" s="251"/>
      <c r="DZ149" s="251"/>
      <c r="EA149" s="251"/>
      <c r="EB149" s="251"/>
      <c r="EC149" s="251"/>
      <c r="ED149" s="251"/>
      <c r="EE149" s="251"/>
      <c r="EF149" s="251"/>
      <c r="EG149" s="251"/>
      <c r="EH149" s="251"/>
      <c r="EI149" s="251"/>
      <c r="EJ149" s="251"/>
      <c r="EK149" s="251"/>
      <c r="EL149" s="251"/>
      <c r="EM149" s="251"/>
      <c r="EN149" s="251"/>
      <c r="EO149" s="251"/>
      <c r="EP149" s="251"/>
      <c r="EQ149" s="251"/>
      <c r="ER149" s="251"/>
      <c r="ES149" s="251"/>
      <c r="ET149" s="251"/>
      <c r="EU149" s="251"/>
      <c r="EV149" s="251"/>
      <c r="EW149" s="251"/>
      <c r="EX149" s="251"/>
      <c r="EY149" s="251"/>
      <c r="EZ149" s="251"/>
      <c r="FA149" s="251"/>
      <c r="FB149" s="251"/>
      <c r="FC149" s="251"/>
      <c r="FD149" s="251"/>
      <c r="FE149" s="251"/>
      <c r="FF149" s="251"/>
      <c r="FG149" s="251"/>
      <c r="FH149" s="251"/>
      <c r="FI149" s="251"/>
      <c r="FJ149" s="251"/>
      <c r="FK149" s="251"/>
      <c r="FL149" s="251"/>
      <c r="FM149" s="251"/>
      <c r="FN149" s="251"/>
      <c r="FO149" s="251"/>
      <c r="FP149" s="251"/>
      <c r="FQ149" s="251"/>
      <c r="FR149" s="251"/>
      <c r="FS149" s="251"/>
      <c r="FT149" s="251"/>
      <c r="FU149" s="251"/>
      <c r="FV149" s="251"/>
      <c r="FW149" s="251"/>
      <c r="FX149" s="251"/>
      <c r="FY149" s="251"/>
      <c r="FZ149" s="251"/>
      <c r="GA149" s="251"/>
      <c r="GB149" s="251"/>
      <c r="GC149" s="251"/>
      <c r="GD149" s="251"/>
      <c r="GE149" s="251"/>
      <c r="GF149" s="251"/>
      <c r="GG149" s="251"/>
    </row>
    <row r="150" spans="1:189" s="254" customFormat="1" x14ac:dyDescent="0.25">
      <c r="A150" s="264" t="s">
        <v>86</v>
      </c>
      <c r="B150" s="260">
        <f t="shared" si="111"/>
        <v>57000</v>
      </c>
      <c r="C150" s="260">
        <f t="shared" si="111"/>
        <v>57000</v>
      </c>
      <c r="D150" s="260">
        <f t="shared" si="111"/>
        <v>0</v>
      </c>
      <c r="E150" s="260">
        <v>57000</v>
      </c>
      <c r="F150" s="260">
        <f>57000-33000</f>
        <v>24000</v>
      </c>
      <c r="G150" s="260">
        <f t="shared" si="97"/>
        <v>-33000</v>
      </c>
      <c r="H150" s="260"/>
      <c r="I150" s="260">
        <v>33000</v>
      </c>
      <c r="J150" s="260">
        <f t="shared" si="80"/>
        <v>33000</v>
      </c>
      <c r="K150" s="260"/>
      <c r="L150" s="260"/>
      <c r="M150" s="260">
        <f t="shared" si="81"/>
        <v>0</v>
      </c>
      <c r="N150" s="260"/>
      <c r="O150" s="260"/>
      <c r="P150" s="260">
        <f t="shared" si="82"/>
        <v>0</v>
      </c>
      <c r="Q150" s="260"/>
      <c r="R150" s="260"/>
      <c r="S150" s="260">
        <f t="shared" si="83"/>
        <v>0</v>
      </c>
      <c r="T150" s="260"/>
      <c r="U150" s="260"/>
      <c r="V150" s="260">
        <f t="shared" si="84"/>
        <v>0</v>
      </c>
      <c r="W150" s="260"/>
      <c r="X150" s="260"/>
      <c r="Y150" s="260">
        <f t="shared" si="85"/>
        <v>0</v>
      </c>
      <c r="Z150" s="260"/>
      <c r="AA150" s="260"/>
      <c r="AB150" s="260">
        <f t="shared" si="86"/>
        <v>0</v>
      </c>
    </row>
    <row r="151" spans="1:189" s="254" customFormat="1" ht="31.5" x14ac:dyDescent="0.25">
      <c r="A151" s="264" t="s">
        <v>442</v>
      </c>
      <c r="B151" s="260">
        <f t="shared" si="111"/>
        <v>18285</v>
      </c>
      <c r="C151" s="260">
        <f t="shared" si="111"/>
        <v>18285</v>
      </c>
      <c r="D151" s="260">
        <f t="shared" si="111"/>
        <v>0</v>
      </c>
      <c r="E151" s="260"/>
      <c r="F151" s="260"/>
      <c r="G151" s="260">
        <f t="shared" si="97"/>
        <v>0</v>
      </c>
      <c r="H151" s="260"/>
      <c r="I151" s="260"/>
      <c r="J151" s="260">
        <f t="shared" si="80"/>
        <v>0</v>
      </c>
      <c r="K151" s="260">
        <v>18285</v>
      </c>
      <c r="L151" s="260">
        <v>18285</v>
      </c>
      <c r="M151" s="260">
        <f t="shared" si="81"/>
        <v>0</v>
      </c>
      <c r="N151" s="260"/>
      <c r="O151" s="260"/>
      <c r="P151" s="260">
        <f t="shared" si="82"/>
        <v>0</v>
      </c>
      <c r="Q151" s="260"/>
      <c r="R151" s="260"/>
      <c r="S151" s="260">
        <f t="shared" si="83"/>
        <v>0</v>
      </c>
      <c r="T151" s="260"/>
      <c r="U151" s="260"/>
      <c r="V151" s="260">
        <f t="shared" si="84"/>
        <v>0</v>
      </c>
      <c r="W151" s="260"/>
      <c r="X151" s="260"/>
      <c r="Y151" s="260">
        <f t="shared" si="85"/>
        <v>0</v>
      </c>
      <c r="Z151" s="260"/>
      <c r="AA151" s="260"/>
      <c r="AB151" s="260">
        <f t="shared" si="86"/>
        <v>0</v>
      </c>
    </row>
    <row r="152" spans="1:189" s="254" customFormat="1" ht="31.5" x14ac:dyDescent="0.25">
      <c r="A152" s="256" t="s">
        <v>14</v>
      </c>
      <c r="B152" s="257">
        <f t="shared" si="111"/>
        <v>183520</v>
      </c>
      <c r="C152" s="257">
        <f t="shared" si="111"/>
        <v>183520</v>
      </c>
      <c r="D152" s="257">
        <f t="shared" si="111"/>
        <v>0</v>
      </c>
      <c r="E152" s="257">
        <f>190000+70000-12278-64202</f>
        <v>183520</v>
      </c>
      <c r="F152" s="257">
        <f>190000+70000-12278-64202</f>
        <v>183520</v>
      </c>
      <c r="G152" s="257">
        <f t="shared" si="97"/>
        <v>0</v>
      </c>
      <c r="H152" s="257"/>
      <c r="I152" s="257"/>
      <c r="J152" s="257">
        <f t="shared" si="80"/>
        <v>0</v>
      </c>
      <c r="K152" s="257"/>
      <c r="L152" s="257"/>
      <c r="M152" s="257">
        <f t="shared" si="81"/>
        <v>0</v>
      </c>
      <c r="N152" s="257"/>
      <c r="O152" s="257"/>
      <c r="P152" s="257">
        <f t="shared" si="82"/>
        <v>0</v>
      </c>
      <c r="Q152" s="257"/>
      <c r="R152" s="257"/>
      <c r="S152" s="257">
        <f t="shared" si="83"/>
        <v>0</v>
      </c>
      <c r="T152" s="257"/>
      <c r="U152" s="257"/>
      <c r="V152" s="257">
        <f t="shared" si="84"/>
        <v>0</v>
      </c>
      <c r="W152" s="257"/>
      <c r="X152" s="257"/>
      <c r="Y152" s="257">
        <f t="shared" si="85"/>
        <v>0</v>
      </c>
      <c r="Z152" s="257"/>
      <c r="AA152" s="257"/>
      <c r="AB152" s="257">
        <f t="shared" si="86"/>
        <v>0</v>
      </c>
    </row>
    <row r="153" spans="1:189" s="254" customFormat="1" ht="31.5" x14ac:dyDescent="0.25">
      <c r="A153" s="256" t="s">
        <v>433</v>
      </c>
      <c r="B153" s="257">
        <f t="shared" si="111"/>
        <v>5362</v>
      </c>
      <c r="C153" s="257">
        <f t="shared" si="111"/>
        <v>5362</v>
      </c>
      <c r="D153" s="257">
        <f t="shared" si="111"/>
        <v>0</v>
      </c>
      <c r="E153" s="257"/>
      <c r="F153" s="257"/>
      <c r="G153" s="257">
        <f t="shared" si="97"/>
        <v>0</v>
      </c>
      <c r="H153" s="257">
        <f>5730-368</f>
        <v>5362</v>
      </c>
      <c r="I153" s="257">
        <f>5730-368</f>
        <v>5362</v>
      </c>
      <c r="J153" s="257">
        <f t="shared" si="80"/>
        <v>0</v>
      </c>
      <c r="K153" s="257"/>
      <c r="L153" s="257"/>
      <c r="M153" s="257">
        <f t="shared" si="81"/>
        <v>0</v>
      </c>
      <c r="N153" s="257"/>
      <c r="O153" s="257"/>
      <c r="P153" s="257">
        <f t="shared" si="82"/>
        <v>0</v>
      </c>
      <c r="Q153" s="257"/>
      <c r="R153" s="257"/>
      <c r="S153" s="257">
        <f t="shared" si="83"/>
        <v>0</v>
      </c>
      <c r="T153" s="257"/>
      <c r="U153" s="257"/>
      <c r="V153" s="257">
        <f t="shared" si="84"/>
        <v>0</v>
      </c>
      <c r="W153" s="257"/>
      <c r="X153" s="257"/>
      <c r="Y153" s="257">
        <f t="shared" si="85"/>
        <v>0</v>
      </c>
      <c r="Z153" s="257"/>
      <c r="AA153" s="257"/>
      <c r="AB153" s="257">
        <f t="shared" si="86"/>
        <v>0</v>
      </c>
    </row>
    <row r="154" spans="1:189" s="254" customFormat="1" ht="31.5" x14ac:dyDescent="0.25">
      <c r="A154" s="256" t="s">
        <v>405</v>
      </c>
      <c r="B154" s="257">
        <f t="shared" si="111"/>
        <v>2498</v>
      </c>
      <c r="C154" s="257">
        <f t="shared" si="111"/>
        <v>2498</v>
      </c>
      <c r="D154" s="257">
        <f t="shared" si="111"/>
        <v>0</v>
      </c>
      <c r="E154" s="257"/>
      <c r="F154" s="257"/>
      <c r="G154" s="257">
        <f t="shared" si="97"/>
        <v>0</v>
      </c>
      <c r="H154" s="257"/>
      <c r="I154" s="257"/>
      <c r="J154" s="257">
        <f t="shared" si="80"/>
        <v>0</v>
      </c>
      <c r="K154" s="257">
        <v>2498</v>
      </c>
      <c r="L154" s="257">
        <v>2498</v>
      </c>
      <c r="M154" s="257">
        <f t="shared" si="81"/>
        <v>0</v>
      </c>
      <c r="N154" s="257"/>
      <c r="O154" s="257"/>
      <c r="P154" s="257">
        <f t="shared" si="82"/>
        <v>0</v>
      </c>
      <c r="Q154" s="257"/>
      <c r="R154" s="257"/>
      <c r="S154" s="257">
        <f t="shared" si="83"/>
        <v>0</v>
      </c>
      <c r="T154" s="257"/>
      <c r="U154" s="257"/>
      <c r="V154" s="257">
        <f t="shared" si="84"/>
        <v>0</v>
      </c>
      <c r="W154" s="257"/>
      <c r="X154" s="257"/>
      <c r="Y154" s="257">
        <f t="shared" si="85"/>
        <v>0</v>
      </c>
      <c r="Z154" s="257"/>
      <c r="AA154" s="257"/>
      <c r="AB154" s="257">
        <f t="shared" si="86"/>
        <v>0</v>
      </c>
    </row>
    <row r="155" spans="1:189" s="254" customFormat="1" ht="31.5" x14ac:dyDescent="0.25">
      <c r="A155" s="267" t="s">
        <v>226</v>
      </c>
      <c r="B155" s="260">
        <f t="shared" si="111"/>
        <v>15571</v>
      </c>
      <c r="C155" s="260">
        <f t="shared" si="111"/>
        <v>15571</v>
      </c>
      <c r="D155" s="260">
        <f t="shared" si="111"/>
        <v>0</v>
      </c>
      <c r="E155" s="260"/>
      <c r="F155" s="260"/>
      <c r="G155" s="260">
        <f t="shared" si="97"/>
        <v>0</v>
      </c>
      <c r="H155" s="260"/>
      <c r="I155" s="260"/>
      <c r="J155" s="260">
        <f t="shared" si="80"/>
        <v>0</v>
      </c>
      <c r="K155" s="260">
        <v>15571</v>
      </c>
      <c r="L155" s="260">
        <v>15571</v>
      </c>
      <c r="M155" s="260">
        <f t="shared" si="81"/>
        <v>0</v>
      </c>
      <c r="N155" s="260"/>
      <c r="O155" s="260"/>
      <c r="P155" s="260">
        <f t="shared" si="82"/>
        <v>0</v>
      </c>
      <c r="Q155" s="260"/>
      <c r="R155" s="260"/>
      <c r="S155" s="260">
        <f t="shared" si="83"/>
        <v>0</v>
      </c>
      <c r="T155" s="260"/>
      <c r="U155" s="260"/>
      <c r="V155" s="260">
        <f t="shared" si="84"/>
        <v>0</v>
      </c>
      <c r="W155" s="260"/>
      <c r="X155" s="260"/>
      <c r="Y155" s="260">
        <f t="shared" si="85"/>
        <v>0</v>
      </c>
      <c r="Z155" s="260"/>
      <c r="AA155" s="260"/>
      <c r="AB155" s="260">
        <f t="shared" si="86"/>
        <v>0</v>
      </c>
    </row>
    <row r="156" spans="1:189" s="254" customFormat="1" ht="31.5" x14ac:dyDescent="0.25">
      <c r="A156" s="267" t="s">
        <v>227</v>
      </c>
      <c r="B156" s="260">
        <f t="shared" si="111"/>
        <v>15993</v>
      </c>
      <c r="C156" s="260">
        <f t="shared" si="111"/>
        <v>15993</v>
      </c>
      <c r="D156" s="260">
        <f t="shared" si="111"/>
        <v>0</v>
      </c>
      <c r="E156" s="260"/>
      <c r="F156" s="260"/>
      <c r="G156" s="260">
        <f t="shared" si="97"/>
        <v>0</v>
      </c>
      <c r="H156" s="260"/>
      <c r="I156" s="260"/>
      <c r="J156" s="260">
        <f t="shared" si="80"/>
        <v>0</v>
      </c>
      <c r="K156" s="260">
        <v>15993</v>
      </c>
      <c r="L156" s="260">
        <v>15993</v>
      </c>
      <c r="M156" s="260">
        <f t="shared" si="81"/>
        <v>0</v>
      </c>
      <c r="N156" s="260"/>
      <c r="O156" s="260"/>
      <c r="P156" s="260">
        <f t="shared" si="82"/>
        <v>0</v>
      </c>
      <c r="Q156" s="260"/>
      <c r="R156" s="260"/>
      <c r="S156" s="260">
        <f t="shared" si="83"/>
        <v>0</v>
      </c>
      <c r="T156" s="260"/>
      <c r="U156" s="260"/>
      <c r="V156" s="260">
        <f t="shared" si="84"/>
        <v>0</v>
      </c>
      <c r="W156" s="260"/>
      <c r="X156" s="260"/>
      <c r="Y156" s="260">
        <f t="shared" si="85"/>
        <v>0</v>
      </c>
      <c r="Z156" s="260"/>
      <c r="AA156" s="260"/>
      <c r="AB156" s="260">
        <f t="shared" si="86"/>
        <v>0</v>
      </c>
    </row>
    <row r="157" spans="1:189" s="254" customFormat="1" ht="31.5" x14ac:dyDescent="0.25">
      <c r="A157" s="267" t="s">
        <v>228</v>
      </c>
      <c r="B157" s="260">
        <f t="shared" si="111"/>
        <v>12998</v>
      </c>
      <c r="C157" s="260">
        <f t="shared" si="111"/>
        <v>12998</v>
      </c>
      <c r="D157" s="260">
        <f t="shared" si="111"/>
        <v>0</v>
      </c>
      <c r="E157" s="260"/>
      <c r="F157" s="260"/>
      <c r="G157" s="260">
        <f t="shared" si="97"/>
        <v>0</v>
      </c>
      <c r="H157" s="260"/>
      <c r="I157" s="260"/>
      <c r="J157" s="260">
        <f t="shared" ref="J157:J310" si="133">I157-H157</f>
        <v>0</v>
      </c>
      <c r="K157" s="260">
        <v>12998</v>
      </c>
      <c r="L157" s="260">
        <v>12998</v>
      </c>
      <c r="M157" s="260">
        <f t="shared" ref="M157:M310" si="134">L157-K157</f>
        <v>0</v>
      </c>
      <c r="N157" s="260"/>
      <c r="O157" s="260"/>
      <c r="P157" s="260">
        <f t="shared" ref="P157:P310" si="135">O157-N157</f>
        <v>0</v>
      </c>
      <c r="Q157" s="260"/>
      <c r="R157" s="260"/>
      <c r="S157" s="260">
        <f t="shared" ref="S157:S310" si="136">R157-Q157</f>
        <v>0</v>
      </c>
      <c r="T157" s="260"/>
      <c r="U157" s="260"/>
      <c r="V157" s="260">
        <f t="shared" ref="V157:V310" si="137">U157-T157</f>
        <v>0</v>
      </c>
      <c r="W157" s="260"/>
      <c r="X157" s="260"/>
      <c r="Y157" s="260">
        <f t="shared" ref="Y157:Y310" si="138">X157-W157</f>
        <v>0</v>
      </c>
      <c r="Z157" s="260"/>
      <c r="AA157" s="260"/>
      <c r="AB157" s="260">
        <f t="shared" ref="AB157:AB310" si="139">AA157-Z157</f>
        <v>0</v>
      </c>
    </row>
    <row r="158" spans="1:189" s="254" customFormat="1" ht="31.5" x14ac:dyDescent="0.25">
      <c r="A158" s="267" t="s">
        <v>229</v>
      </c>
      <c r="B158" s="260">
        <f t="shared" si="111"/>
        <v>12999</v>
      </c>
      <c r="C158" s="260">
        <f t="shared" si="111"/>
        <v>12999</v>
      </c>
      <c r="D158" s="260">
        <f t="shared" si="111"/>
        <v>0</v>
      </c>
      <c r="E158" s="260"/>
      <c r="F158" s="260"/>
      <c r="G158" s="260">
        <f t="shared" si="97"/>
        <v>0</v>
      </c>
      <c r="H158" s="260"/>
      <c r="I158" s="260"/>
      <c r="J158" s="260">
        <f t="shared" si="133"/>
        <v>0</v>
      </c>
      <c r="K158" s="260">
        <v>12999</v>
      </c>
      <c r="L158" s="260">
        <v>12999</v>
      </c>
      <c r="M158" s="260">
        <f t="shared" si="134"/>
        <v>0</v>
      </c>
      <c r="N158" s="260"/>
      <c r="O158" s="260"/>
      <c r="P158" s="260">
        <f t="shared" si="135"/>
        <v>0</v>
      </c>
      <c r="Q158" s="260"/>
      <c r="R158" s="260"/>
      <c r="S158" s="260">
        <f t="shared" si="136"/>
        <v>0</v>
      </c>
      <c r="T158" s="260"/>
      <c r="U158" s="260"/>
      <c r="V158" s="260">
        <f t="shared" si="137"/>
        <v>0</v>
      </c>
      <c r="W158" s="260"/>
      <c r="X158" s="260"/>
      <c r="Y158" s="260">
        <f t="shared" si="138"/>
        <v>0</v>
      </c>
      <c r="Z158" s="260"/>
      <c r="AA158" s="260"/>
      <c r="AB158" s="260">
        <f t="shared" si="139"/>
        <v>0</v>
      </c>
    </row>
    <row r="159" spans="1:189" s="254" customFormat="1" ht="31.5" x14ac:dyDescent="0.25">
      <c r="A159" s="267" t="s">
        <v>230</v>
      </c>
      <c r="B159" s="260">
        <f t="shared" si="111"/>
        <v>7000</v>
      </c>
      <c r="C159" s="260">
        <f t="shared" si="111"/>
        <v>7000</v>
      </c>
      <c r="D159" s="260">
        <f t="shared" si="111"/>
        <v>0</v>
      </c>
      <c r="E159" s="260"/>
      <c r="F159" s="260"/>
      <c r="G159" s="260">
        <f t="shared" si="97"/>
        <v>0</v>
      </c>
      <c r="H159" s="260"/>
      <c r="I159" s="260"/>
      <c r="J159" s="260">
        <f t="shared" si="133"/>
        <v>0</v>
      </c>
      <c r="K159" s="260">
        <v>7000</v>
      </c>
      <c r="L159" s="260">
        <v>7000</v>
      </c>
      <c r="M159" s="260">
        <f t="shared" si="134"/>
        <v>0</v>
      </c>
      <c r="N159" s="260"/>
      <c r="O159" s="260"/>
      <c r="P159" s="260">
        <f t="shared" si="135"/>
        <v>0</v>
      </c>
      <c r="Q159" s="260"/>
      <c r="R159" s="260"/>
      <c r="S159" s="260">
        <f t="shared" si="136"/>
        <v>0</v>
      </c>
      <c r="T159" s="260"/>
      <c r="U159" s="260"/>
      <c r="V159" s="260">
        <f t="shared" si="137"/>
        <v>0</v>
      </c>
      <c r="W159" s="260"/>
      <c r="X159" s="260"/>
      <c r="Y159" s="260">
        <f t="shared" si="138"/>
        <v>0</v>
      </c>
      <c r="Z159" s="260"/>
      <c r="AA159" s="260"/>
      <c r="AB159" s="260">
        <f t="shared" si="139"/>
        <v>0</v>
      </c>
    </row>
    <row r="160" spans="1:189" s="254" customFormat="1" ht="31.5" x14ac:dyDescent="0.25">
      <c r="A160" s="267" t="s">
        <v>561</v>
      </c>
      <c r="B160" s="260">
        <f t="shared" ref="B160" si="140">E160+H160+K160+N160+Q160+T160+Z160+W160</f>
        <v>0</v>
      </c>
      <c r="C160" s="260">
        <f t="shared" ref="C160" si="141">F160+I160+L160+O160+R160+U160+AA160+X160</f>
        <v>24950</v>
      </c>
      <c r="D160" s="260">
        <f t="shared" ref="D160" si="142">G160+J160+M160+P160+S160+V160+AB160+Y160</f>
        <v>24950</v>
      </c>
      <c r="E160" s="260"/>
      <c r="F160" s="260"/>
      <c r="G160" s="260">
        <f t="shared" ref="G160" si="143">F160-E160</f>
        <v>0</v>
      </c>
      <c r="H160" s="260"/>
      <c r="I160" s="260"/>
      <c r="J160" s="260">
        <f t="shared" ref="J160" si="144">I160-H160</f>
        <v>0</v>
      </c>
      <c r="K160" s="260">
        <v>0</v>
      </c>
      <c r="L160" s="260">
        <f>22450+2500</f>
        <v>24950</v>
      </c>
      <c r="M160" s="260">
        <f t="shared" ref="M160" si="145">L160-K160</f>
        <v>24950</v>
      </c>
      <c r="N160" s="260"/>
      <c r="O160" s="260"/>
      <c r="P160" s="260">
        <f t="shared" ref="P160" si="146">O160-N160</f>
        <v>0</v>
      </c>
      <c r="Q160" s="260"/>
      <c r="R160" s="260"/>
      <c r="S160" s="260">
        <f t="shared" ref="S160" si="147">R160-Q160</f>
        <v>0</v>
      </c>
      <c r="T160" s="260"/>
      <c r="U160" s="260"/>
      <c r="V160" s="260">
        <f t="shared" ref="V160" si="148">U160-T160</f>
        <v>0</v>
      </c>
      <c r="W160" s="260"/>
      <c r="X160" s="260"/>
      <c r="Y160" s="260">
        <f t="shared" ref="Y160" si="149">X160-W160</f>
        <v>0</v>
      </c>
      <c r="Z160" s="260"/>
      <c r="AA160" s="260"/>
      <c r="AB160" s="260">
        <f t="shared" ref="AB160" si="150">AA160-Z160</f>
        <v>0</v>
      </c>
    </row>
    <row r="161" spans="1:189" s="254" customFormat="1" ht="47.25" x14ac:dyDescent="0.25">
      <c r="A161" s="264" t="s">
        <v>87</v>
      </c>
      <c r="B161" s="260">
        <f t="shared" si="111"/>
        <v>117000</v>
      </c>
      <c r="C161" s="260">
        <f t="shared" si="111"/>
        <v>117000</v>
      </c>
      <c r="D161" s="260">
        <f t="shared" si="111"/>
        <v>0</v>
      </c>
      <c r="E161" s="260">
        <v>117000</v>
      </c>
      <c r="F161" s="260">
        <f>117000-117000</f>
        <v>0</v>
      </c>
      <c r="G161" s="260">
        <f t="shared" si="97"/>
        <v>-117000</v>
      </c>
      <c r="H161" s="260"/>
      <c r="I161" s="260">
        <v>117000</v>
      </c>
      <c r="J161" s="260">
        <f t="shared" si="133"/>
        <v>117000</v>
      </c>
      <c r="K161" s="260"/>
      <c r="L161" s="260"/>
      <c r="M161" s="260">
        <f t="shared" si="134"/>
        <v>0</v>
      </c>
      <c r="N161" s="260"/>
      <c r="O161" s="260"/>
      <c r="P161" s="260">
        <f t="shared" si="135"/>
        <v>0</v>
      </c>
      <c r="Q161" s="260"/>
      <c r="R161" s="260"/>
      <c r="S161" s="260">
        <f t="shared" si="136"/>
        <v>0</v>
      </c>
      <c r="T161" s="260"/>
      <c r="U161" s="260"/>
      <c r="V161" s="260">
        <f t="shared" si="137"/>
        <v>0</v>
      </c>
      <c r="W161" s="260"/>
      <c r="X161" s="260"/>
      <c r="Y161" s="260">
        <f t="shared" si="138"/>
        <v>0</v>
      </c>
      <c r="Z161" s="260"/>
      <c r="AA161" s="260"/>
      <c r="AB161" s="260">
        <f t="shared" si="139"/>
        <v>0</v>
      </c>
    </row>
    <row r="162" spans="1:189" s="254" customFormat="1" ht="31.5" x14ac:dyDescent="0.25">
      <c r="A162" s="264" t="s">
        <v>88</v>
      </c>
      <c r="B162" s="260">
        <f t="shared" si="111"/>
        <v>16062</v>
      </c>
      <c r="C162" s="260">
        <f t="shared" si="111"/>
        <v>16062</v>
      </c>
      <c r="D162" s="260">
        <f t="shared" si="111"/>
        <v>0</v>
      </c>
      <c r="E162" s="260"/>
      <c r="F162" s="260"/>
      <c r="G162" s="260">
        <f t="shared" si="97"/>
        <v>0</v>
      </c>
      <c r="H162" s="260"/>
      <c r="I162" s="260"/>
      <c r="J162" s="260">
        <f t="shared" si="133"/>
        <v>0</v>
      </c>
      <c r="K162" s="260">
        <v>12426</v>
      </c>
      <c r="L162" s="260">
        <v>12426</v>
      </c>
      <c r="M162" s="260">
        <f t="shared" si="134"/>
        <v>0</v>
      </c>
      <c r="N162" s="260"/>
      <c r="O162" s="260"/>
      <c r="P162" s="260">
        <f t="shared" si="135"/>
        <v>0</v>
      </c>
      <c r="Q162" s="260"/>
      <c r="R162" s="260"/>
      <c r="S162" s="260">
        <f t="shared" si="136"/>
        <v>0</v>
      </c>
      <c r="T162" s="260">
        <v>3636</v>
      </c>
      <c r="U162" s="260">
        <v>3636</v>
      </c>
      <c r="V162" s="260">
        <f t="shared" si="137"/>
        <v>0</v>
      </c>
      <c r="W162" s="260"/>
      <c r="X162" s="260"/>
      <c r="Y162" s="260">
        <f t="shared" si="138"/>
        <v>0</v>
      </c>
      <c r="Z162" s="260"/>
      <c r="AA162" s="260"/>
      <c r="AB162" s="260">
        <f t="shared" si="139"/>
        <v>0</v>
      </c>
    </row>
    <row r="163" spans="1:189" s="254" customFormat="1" ht="47.25" x14ac:dyDescent="0.25">
      <c r="A163" s="264" t="s">
        <v>412</v>
      </c>
      <c r="B163" s="260">
        <f t="shared" si="111"/>
        <v>13200</v>
      </c>
      <c r="C163" s="260">
        <f t="shared" si="111"/>
        <v>13200</v>
      </c>
      <c r="D163" s="260">
        <f t="shared" si="111"/>
        <v>0</v>
      </c>
      <c r="E163" s="260"/>
      <c r="F163" s="260"/>
      <c r="G163" s="260">
        <f t="shared" si="97"/>
        <v>0</v>
      </c>
      <c r="H163" s="260"/>
      <c r="I163" s="260"/>
      <c r="J163" s="260">
        <f t="shared" si="133"/>
        <v>0</v>
      </c>
      <c r="K163" s="260">
        <v>13200</v>
      </c>
      <c r="L163" s="260">
        <v>13200</v>
      </c>
      <c r="M163" s="260">
        <f t="shared" si="134"/>
        <v>0</v>
      </c>
      <c r="N163" s="260"/>
      <c r="O163" s="260"/>
      <c r="P163" s="260">
        <f t="shared" si="135"/>
        <v>0</v>
      </c>
      <c r="Q163" s="260"/>
      <c r="R163" s="260"/>
      <c r="S163" s="260">
        <f t="shared" si="136"/>
        <v>0</v>
      </c>
      <c r="T163" s="260"/>
      <c r="U163" s="260"/>
      <c r="V163" s="260">
        <f t="shared" si="137"/>
        <v>0</v>
      </c>
      <c r="W163" s="260"/>
      <c r="X163" s="260"/>
      <c r="Y163" s="260">
        <f t="shared" si="138"/>
        <v>0</v>
      </c>
      <c r="Z163" s="260"/>
      <c r="AA163" s="260"/>
      <c r="AB163" s="260">
        <f t="shared" si="139"/>
        <v>0</v>
      </c>
    </row>
    <row r="164" spans="1:189" s="254" customFormat="1" ht="47.25" x14ac:dyDescent="0.25">
      <c r="A164" s="268" t="s">
        <v>89</v>
      </c>
      <c r="B164" s="260">
        <f t="shared" si="111"/>
        <v>3630</v>
      </c>
      <c r="C164" s="260">
        <f t="shared" si="111"/>
        <v>3630</v>
      </c>
      <c r="D164" s="260">
        <f t="shared" si="111"/>
        <v>0</v>
      </c>
      <c r="E164" s="260"/>
      <c r="F164" s="260"/>
      <c r="G164" s="260">
        <f t="shared" si="97"/>
        <v>0</v>
      </c>
      <c r="H164" s="260"/>
      <c r="I164" s="260"/>
      <c r="J164" s="260">
        <f t="shared" si="133"/>
        <v>0</v>
      </c>
      <c r="K164" s="260">
        <v>3630</v>
      </c>
      <c r="L164" s="260">
        <v>3630</v>
      </c>
      <c r="M164" s="260">
        <f t="shared" si="134"/>
        <v>0</v>
      </c>
      <c r="N164" s="260"/>
      <c r="O164" s="260"/>
      <c r="P164" s="260">
        <f t="shared" si="135"/>
        <v>0</v>
      </c>
      <c r="Q164" s="260"/>
      <c r="R164" s="260"/>
      <c r="S164" s="260">
        <f t="shared" si="136"/>
        <v>0</v>
      </c>
      <c r="T164" s="260"/>
      <c r="U164" s="260"/>
      <c r="V164" s="260">
        <f t="shared" si="137"/>
        <v>0</v>
      </c>
      <c r="W164" s="260"/>
      <c r="X164" s="260"/>
      <c r="Y164" s="260">
        <f t="shared" si="138"/>
        <v>0</v>
      </c>
      <c r="Z164" s="260"/>
      <c r="AA164" s="260"/>
      <c r="AB164" s="260">
        <f t="shared" si="139"/>
        <v>0</v>
      </c>
    </row>
    <row r="165" spans="1:189" s="254" customFormat="1" ht="78.75" x14ac:dyDescent="0.25">
      <c r="A165" s="268" t="s">
        <v>90</v>
      </c>
      <c r="B165" s="260">
        <f t="shared" si="111"/>
        <v>864178</v>
      </c>
      <c r="C165" s="260">
        <f t="shared" si="111"/>
        <v>864178</v>
      </c>
      <c r="D165" s="260">
        <f t="shared" si="111"/>
        <v>0</v>
      </c>
      <c r="E165" s="260"/>
      <c r="F165" s="260"/>
      <c r="G165" s="260">
        <f t="shared" si="97"/>
        <v>0</v>
      </c>
      <c r="H165" s="260"/>
      <c r="I165" s="260"/>
      <c r="J165" s="260">
        <f t="shared" si="133"/>
        <v>0</v>
      </c>
      <c r="K165" s="260"/>
      <c r="L165" s="260"/>
      <c r="M165" s="260">
        <f t="shared" si="134"/>
        <v>0</v>
      </c>
      <c r="N165" s="260">
        <v>864178</v>
      </c>
      <c r="O165" s="260">
        <v>864178</v>
      </c>
      <c r="P165" s="260">
        <f t="shared" si="135"/>
        <v>0</v>
      </c>
      <c r="Q165" s="260"/>
      <c r="R165" s="260"/>
      <c r="S165" s="260">
        <f t="shared" si="136"/>
        <v>0</v>
      </c>
      <c r="T165" s="260"/>
      <c r="U165" s="260"/>
      <c r="V165" s="260">
        <f t="shared" si="137"/>
        <v>0</v>
      </c>
      <c r="W165" s="260"/>
      <c r="X165" s="260"/>
      <c r="Y165" s="260">
        <f t="shared" si="138"/>
        <v>0</v>
      </c>
      <c r="Z165" s="260"/>
      <c r="AA165" s="260"/>
      <c r="AB165" s="260">
        <f t="shared" si="139"/>
        <v>0</v>
      </c>
    </row>
    <row r="166" spans="1:189" s="254" customFormat="1" ht="63" x14ac:dyDescent="0.25">
      <c r="A166" s="268" t="s">
        <v>91</v>
      </c>
      <c r="B166" s="260">
        <f t="shared" si="111"/>
        <v>11158</v>
      </c>
      <c r="C166" s="260">
        <f t="shared" si="111"/>
        <v>11158</v>
      </c>
      <c r="D166" s="260">
        <f t="shared" si="111"/>
        <v>0</v>
      </c>
      <c r="E166" s="260"/>
      <c r="F166" s="260"/>
      <c r="G166" s="260">
        <f t="shared" si="97"/>
        <v>0</v>
      </c>
      <c r="H166" s="260"/>
      <c r="I166" s="260"/>
      <c r="J166" s="260">
        <f t="shared" si="133"/>
        <v>0</v>
      </c>
      <c r="K166" s="260"/>
      <c r="L166" s="260"/>
      <c r="M166" s="260">
        <f t="shared" si="134"/>
        <v>0</v>
      </c>
      <c r="N166" s="260">
        <f>138928-126330-1440</f>
        <v>11158</v>
      </c>
      <c r="O166" s="260">
        <f>138928-126330-1440</f>
        <v>11158</v>
      </c>
      <c r="P166" s="260">
        <f t="shared" si="135"/>
        <v>0</v>
      </c>
      <c r="Q166" s="260"/>
      <c r="R166" s="260"/>
      <c r="S166" s="260">
        <f t="shared" si="136"/>
        <v>0</v>
      </c>
      <c r="T166" s="260"/>
      <c r="U166" s="260"/>
      <c r="V166" s="260">
        <f t="shared" si="137"/>
        <v>0</v>
      </c>
      <c r="W166" s="260"/>
      <c r="X166" s="260"/>
      <c r="Y166" s="260">
        <f t="shared" si="138"/>
        <v>0</v>
      </c>
      <c r="Z166" s="260"/>
      <c r="AA166" s="260"/>
      <c r="AB166" s="260">
        <f t="shared" si="139"/>
        <v>0</v>
      </c>
    </row>
    <row r="167" spans="1:189" s="254" customFormat="1" ht="47.25" x14ac:dyDescent="0.25">
      <c r="A167" s="268" t="s">
        <v>92</v>
      </c>
      <c r="B167" s="260">
        <f t="shared" si="111"/>
        <v>806544</v>
      </c>
      <c r="C167" s="260">
        <f t="shared" si="111"/>
        <v>430666</v>
      </c>
      <c r="D167" s="260">
        <f t="shared" si="111"/>
        <v>-375878</v>
      </c>
      <c r="E167" s="260"/>
      <c r="F167" s="260"/>
      <c r="G167" s="260">
        <f t="shared" si="97"/>
        <v>0</v>
      </c>
      <c r="H167" s="260"/>
      <c r="I167" s="260"/>
      <c r="J167" s="260">
        <f t="shared" si="133"/>
        <v>0</v>
      </c>
      <c r="K167" s="260"/>
      <c r="L167" s="260"/>
      <c r="M167" s="260">
        <f t="shared" si="134"/>
        <v>0</v>
      </c>
      <c r="N167" s="260">
        <f>838158-31614</f>
        <v>806544</v>
      </c>
      <c r="O167" s="260">
        <f>838158-31614-375878</f>
        <v>430666</v>
      </c>
      <c r="P167" s="260">
        <f t="shared" si="135"/>
        <v>-375878</v>
      </c>
      <c r="Q167" s="260"/>
      <c r="R167" s="260"/>
      <c r="S167" s="260">
        <f t="shared" si="136"/>
        <v>0</v>
      </c>
      <c r="T167" s="260"/>
      <c r="U167" s="260"/>
      <c r="V167" s="260">
        <f t="shared" si="137"/>
        <v>0</v>
      </c>
      <c r="W167" s="260"/>
      <c r="X167" s="260"/>
      <c r="Y167" s="260">
        <f t="shared" si="138"/>
        <v>0</v>
      </c>
      <c r="Z167" s="260"/>
      <c r="AA167" s="260"/>
      <c r="AB167" s="260">
        <f t="shared" si="139"/>
        <v>0</v>
      </c>
    </row>
    <row r="168" spans="1:189" s="254" customFormat="1" x14ac:dyDescent="0.25">
      <c r="A168" s="268" t="s">
        <v>429</v>
      </c>
      <c r="B168" s="260">
        <f t="shared" si="111"/>
        <v>7000</v>
      </c>
      <c r="C168" s="260">
        <f t="shared" si="111"/>
        <v>7000</v>
      </c>
      <c r="D168" s="260">
        <f t="shared" si="111"/>
        <v>0</v>
      </c>
      <c r="E168" s="260"/>
      <c r="F168" s="260"/>
      <c r="G168" s="260">
        <f t="shared" si="97"/>
        <v>0</v>
      </c>
      <c r="H168" s="260"/>
      <c r="I168" s="260"/>
      <c r="J168" s="260">
        <f t="shared" si="133"/>
        <v>0</v>
      </c>
      <c r="K168" s="260">
        <v>7000</v>
      </c>
      <c r="L168" s="260">
        <v>7000</v>
      </c>
      <c r="M168" s="260">
        <f t="shared" si="134"/>
        <v>0</v>
      </c>
      <c r="N168" s="260"/>
      <c r="O168" s="260"/>
      <c r="P168" s="260">
        <f t="shared" si="135"/>
        <v>0</v>
      </c>
      <c r="Q168" s="260"/>
      <c r="R168" s="260"/>
      <c r="S168" s="260">
        <f t="shared" si="136"/>
        <v>0</v>
      </c>
      <c r="T168" s="260"/>
      <c r="U168" s="260"/>
      <c r="V168" s="260">
        <f t="shared" si="137"/>
        <v>0</v>
      </c>
      <c r="W168" s="260"/>
      <c r="X168" s="260"/>
      <c r="Y168" s="260">
        <f t="shared" si="138"/>
        <v>0</v>
      </c>
      <c r="Z168" s="260"/>
      <c r="AA168" s="260"/>
      <c r="AB168" s="260">
        <f t="shared" si="139"/>
        <v>0</v>
      </c>
    </row>
    <row r="169" spans="1:189" s="254" customFormat="1" ht="63" x14ac:dyDescent="0.25">
      <c r="A169" s="268" t="s">
        <v>93</v>
      </c>
      <c r="B169" s="260">
        <f t="shared" si="111"/>
        <v>17700</v>
      </c>
      <c r="C169" s="260">
        <f t="shared" si="111"/>
        <v>17700</v>
      </c>
      <c r="D169" s="260">
        <f t="shared" si="111"/>
        <v>0</v>
      </c>
      <c r="E169" s="260"/>
      <c r="F169" s="260"/>
      <c r="G169" s="260">
        <f t="shared" si="97"/>
        <v>0</v>
      </c>
      <c r="H169" s="260"/>
      <c r="I169" s="260"/>
      <c r="J169" s="260">
        <f t="shared" si="133"/>
        <v>0</v>
      </c>
      <c r="K169" s="260">
        <v>17700</v>
      </c>
      <c r="L169" s="260">
        <v>17700</v>
      </c>
      <c r="M169" s="260">
        <f t="shared" si="134"/>
        <v>0</v>
      </c>
      <c r="N169" s="260"/>
      <c r="O169" s="260"/>
      <c r="P169" s="260">
        <f t="shared" si="135"/>
        <v>0</v>
      </c>
      <c r="Q169" s="260"/>
      <c r="R169" s="260"/>
      <c r="S169" s="260">
        <f t="shared" si="136"/>
        <v>0</v>
      </c>
      <c r="T169" s="260"/>
      <c r="U169" s="260"/>
      <c r="V169" s="260">
        <f t="shared" si="137"/>
        <v>0</v>
      </c>
      <c r="W169" s="260"/>
      <c r="X169" s="260"/>
      <c r="Y169" s="260">
        <f t="shared" si="138"/>
        <v>0</v>
      </c>
      <c r="Z169" s="260"/>
      <c r="AA169" s="260"/>
      <c r="AB169" s="260">
        <f t="shared" si="139"/>
        <v>0</v>
      </c>
    </row>
    <row r="170" spans="1:189" s="254" customFormat="1" x14ac:dyDescent="0.25">
      <c r="A170" s="252" t="s">
        <v>94</v>
      </c>
      <c r="B170" s="253">
        <f t="shared" si="111"/>
        <v>1397019</v>
      </c>
      <c r="C170" s="253">
        <f t="shared" si="111"/>
        <v>1397019</v>
      </c>
      <c r="D170" s="253">
        <f t="shared" si="111"/>
        <v>0</v>
      </c>
      <c r="E170" s="253">
        <f t="shared" ref="E170:AA170" si="151">SUM(E171)</f>
        <v>46418</v>
      </c>
      <c r="F170" s="253">
        <f t="shared" si="151"/>
        <v>46418</v>
      </c>
      <c r="G170" s="253">
        <f t="shared" si="97"/>
        <v>0</v>
      </c>
      <c r="H170" s="253">
        <f t="shared" si="151"/>
        <v>30000</v>
      </c>
      <c r="I170" s="253">
        <f t="shared" si="151"/>
        <v>30000</v>
      </c>
      <c r="J170" s="253">
        <f t="shared" si="133"/>
        <v>0</v>
      </c>
      <c r="K170" s="253">
        <f t="shared" si="151"/>
        <v>20000</v>
      </c>
      <c r="L170" s="253">
        <f t="shared" si="151"/>
        <v>20000</v>
      </c>
      <c r="M170" s="253">
        <f t="shared" si="134"/>
        <v>0</v>
      </c>
      <c r="N170" s="253">
        <f t="shared" si="151"/>
        <v>942146</v>
      </c>
      <c r="O170" s="253">
        <f t="shared" si="151"/>
        <v>942146</v>
      </c>
      <c r="P170" s="253">
        <f t="shared" si="135"/>
        <v>0</v>
      </c>
      <c r="Q170" s="253">
        <f t="shared" si="151"/>
        <v>0</v>
      </c>
      <c r="R170" s="253">
        <f t="shared" si="151"/>
        <v>0</v>
      </c>
      <c r="S170" s="253">
        <f t="shared" si="136"/>
        <v>0</v>
      </c>
      <c r="T170" s="253">
        <f t="shared" si="151"/>
        <v>358455</v>
      </c>
      <c r="U170" s="253">
        <f t="shared" si="151"/>
        <v>358455</v>
      </c>
      <c r="V170" s="253">
        <f t="shared" si="137"/>
        <v>0</v>
      </c>
      <c r="W170" s="253">
        <f t="shared" si="151"/>
        <v>0</v>
      </c>
      <c r="X170" s="253">
        <f t="shared" si="151"/>
        <v>0</v>
      </c>
      <c r="Y170" s="253">
        <f t="shared" si="138"/>
        <v>0</v>
      </c>
      <c r="Z170" s="253">
        <f t="shared" si="151"/>
        <v>0</v>
      </c>
      <c r="AA170" s="253">
        <f t="shared" si="151"/>
        <v>0</v>
      </c>
      <c r="AB170" s="253">
        <f t="shared" si="139"/>
        <v>0</v>
      </c>
    </row>
    <row r="171" spans="1:189" s="254" customFormat="1" x14ac:dyDescent="0.25">
      <c r="A171" s="252" t="s">
        <v>13</v>
      </c>
      <c r="B171" s="253">
        <f t="shared" si="111"/>
        <v>1397019</v>
      </c>
      <c r="C171" s="253">
        <f t="shared" si="111"/>
        <v>1397019</v>
      </c>
      <c r="D171" s="253">
        <f t="shared" si="111"/>
        <v>0</v>
      </c>
      <c r="E171" s="253">
        <f t="shared" ref="E171:F171" si="152">SUM(E172:E176)</f>
        <v>46418</v>
      </c>
      <c r="F171" s="253">
        <f t="shared" si="152"/>
        <v>46418</v>
      </c>
      <c r="G171" s="253">
        <f t="shared" si="97"/>
        <v>0</v>
      </c>
      <c r="H171" s="253">
        <f t="shared" ref="H171" si="153">SUM(H172:H176)</f>
        <v>30000</v>
      </c>
      <c r="I171" s="253">
        <f t="shared" ref="I171:AA171" si="154">SUM(I172:I176)</f>
        <v>30000</v>
      </c>
      <c r="J171" s="253">
        <f t="shared" si="133"/>
        <v>0</v>
      </c>
      <c r="K171" s="253">
        <f t="shared" ref="K171" si="155">SUM(K172:K176)</f>
        <v>20000</v>
      </c>
      <c r="L171" s="253">
        <f t="shared" si="154"/>
        <v>20000</v>
      </c>
      <c r="M171" s="253">
        <f t="shared" si="134"/>
        <v>0</v>
      </c>
      <c r="N171" s="253">
        <f t="shared" ref="N171" si="156">SUM(N172:N176)</f>
        <v>942146</v>
      </c>
      <c r="O171" s="253">
        <f t="shared" si="154"/>
        <v>942146</v>
      </c>
      <c r="P171" s="253">
        <f t="shared" si="135"/>
        <v>0</v>
      </c>
      <c r="Q171" s="253">
        <f t="shared" ref="Q171" si="157">SUM(Q172:Q176)</f>
        <v>0</v>
      </c>
      <c r="R171" s="253">
        <f t="shared" si="154"/>
        <v>0</v>
      </c>
      <c r="S171" s="253">
        <f t="shared" si="136"/>
        <v>0</v>
      </c>
      <c r="T171" s="253">
        <f t="shared" ref="T171" si="158">SUM(T172:T176)</f>
        <v>358455</v>
      </c>
      <c r="U171" s="253">
        <f t="shared" si="154"/>
        <v>358455</v>
      </c>
      <c r="V171" s="253">
        <f t="shared" si="137"/>
        <v>0</v>
      </c>
      <c r="W171" s="253">
        <f t="shared" ref="W171" si="159">SUM(W172:W176)</f>
        <v>0</v>
      </c>
      <c r="X171" s="253">
        <f t="shared" si="154"/>
        <v>0</v>
      </c>
      <c r="Y171" s="253">
        <f t="shared" si="138"/>
        <v>0</v>
      </c>
      <c r="Z171" s="253">
        <f t="shared" ref="Z171" si="160">SUM(Z172:Z176)</f>
        <v>0</v>
      </c>
      <c r="AA171" s="253">
        <f t="shared" si="154"/>
        <v>0</v>
      </c>
      <c r="AB171" s="253">
        <f t="shared" si="139"/>
        <v>0</v>
      </c>
      <c r="AC171" s="251"/>
      <c r="AD171" s="251"/>
      <c r="AE171" s="251"/>
      <c r="AF171" s="251"/>
      <c r="AG171" s="251"/>
      <c r="AH171" s="251"/>
      <c r="AI171" s="251"/>
      <c r="AJ171" s="251"/>
      <c r="AK171" s="251"/>
      <c r="AL171" s="251"/>
      <c r="AM171" s="251"/>
      <c r="AN171" s="251"/>
      <c r="AO171" s="251"/>
      <c r="AP171" s="251"/>
      <c r="AQ171" s="251"/>
      <c r="AR171" s="251"/>
      <c r="AS171" s="251"/>
      <c r="AT171" s="251"/>
      <c r="AU171" s="251"/>
      <c r="AV171" s="251"/>
      <c r="AW171" s="251"/>
      <c r="AX171" s="251"/>
      <c r="AY171" s="251"/>
      <c r="AZ171" s="251"/>
      <c r="BA171" s="251"/>
      <c r="BB171" s="251"/>
      <c r="BC171" s="251"/>
      <c r="BD171" s="251"/>
      <c r="BE171" s="251"/>
      <c r="BF171" s="251"/>
      <c r="BG171" s="251"/>
      <c r="BH171" s="251"/>
      <c r="BI171" s="251"/>
      <c r="BJ171" s="251"/>
      <c r="BK171" s="251"/>
      <c r="BL171" s="251"/>
      <c r="BM171" s="251"/>
      <c r="BN171" s="251"/>
      <c r="BO171" s="251"/>
      <c r="BP171" s="251"/>
      <c r="BQ171" s="251"/>
      <c r="BR171" s="251"/>
      <c r="BS171" s="251"/>
      <c r="BT171" s="251"/>
      <c r="BU171" s="251"/>
      <c r="BV171" s="251"/>
      <c r="BW171" s="251"/>
      <c r="BX171" s="251"/>
      <c r="BY171" s="251"/>
      <c r="BZ171" s="251"/>
      <c r="CA171" s="251"/>
      <c r="CB171" s="251"/>
      <c r="CC171" s="251"/>
      <c r="CD171" s="251"/>
      <c r="CE171" s="251"/>
      <c r="CF171" s="251"/>
      <c r="CG171" s="251"/>
      <c r="CH171" s="251"/>
      <c r="CI171" s="251"/>
      <c r="CJ171" s="251"/>
      <c r="CK171" s="251"/>
      <c r="CL171" s="251"/>
      <c r="CM171" s="251"/>
      <c r="CN171" s="251"/>
      <c r="CO171" s="251"/>
      <c r="CP171" s="251"/>
      <c r="CQ171" s="251"/>
      <c r="CR171" s="251"/>
      <c r="CS171" s="251"/>
      <c r="CT171" s="251"/>
      <c r="CU171" s="251"/>
      <c r="CV171" s="251"/>
      <c r="CW171" s="251"/>
      <c r="CX171" s="251"/>
      <c r="CY171" s="251"/>
      <c r="CZ171" s="251"/>
      <c r="DA171" s="251"/>
      <c r="DB171" s="251"/>
      <c r="DC171" s="251"/>
      <c r="DD171" s="251"/>
      <c r="DE171" s="251"/>
      <c r="DF171" s="251"/>
      <c r="DG171" s="251"/>
      <c r="DH171" s="251"/>
      <c r="DI171" s="251"/>
      <c r="DJ171" s="251"/>
      <c r="DK171" s="251"/>
      <c r="DL171" s="251"/>
      <c r="DM171" s="251"/>
      <c r="DN171" s="251"/>
      <c r="DO171" s="251"/>
      <c r="DP171" s="251"/>
      <c r="DQ171" s="251"/>
      <c r="DR171" s="251"/>
      <c r="DS171" s="251"/>
      <c r="DT171" s="251"/>
      <c r="DU171" s="251"/>
      <c r="DV171" s="251"/>
      <c r="DW171" s="251"/>
      <c r="DX171" s="251"/>
      <c r="DY171" s="251"/>
      <c r="DZ171" s="251"/>
      <c r="EA171" s="251"/>
      <c r="EB171" s="251"/>
      <c r="EC171" s="251"/>
      <c r="ED171" s="251"/>
      <c r="EE171" s="251"/>
      <c r="EF171" s="251"/>
      <c r="EG171" s="251"/>
      <c r="EH171" s="251"/>
      <c r="EI171" s="251"/>
      <c r="EJ171" s="251"/>
      <c r="EK171" s="251"/>
      <c r="EL171" s="251"/>
      <c r="EM171" s="251"/>
      <c r="EN171" s="251"/>
      <c r="EO171" s="251"/>
      <c r="EP171" s="251"/>
      <c r="EQ171" s="251"/>
      <c r="ER171" s="251"/>
      <c r="ES171" s="251"/>
      <c r="ET171" s="251"/>
      <c r="EU171" s="251"/>
      <c r="EV171" s="251"/>
      <c r="EW171" s="251"/>
      <c r="EX171" s="251"/>
      <c r="EY171" s="251"/>
      <c r="EZ171" s="251"/>
      <c r="FA171" s="251"/>
      <c r="FB171" s="251"/>
      <c r="FC171" s="251"/>
      <c r="FD171" s="251"/>
      <c r="FE171" s="251"/>
      <c r="FF171" s="251"/>
      <c r="FG171" s="251"/>
      <c r="FH171" s="251"/>
      <c r="FI171" s="251"/>
      <c r="FJ171" s="251"/>
      <c r="FK171" s="251"/>
      <c r="FL171" s="251"/>
      <c r="FM171" s="251"/>
      <c r="FN171" s="251"/>
      <c r="FO171" s="251"/>
      <c r="FP171" s="251"/>
      <c r="FQ171" s="251"/>
      <c r="FR171" s="251"/>
      <c r="FS171" s="251"/>
      <c r="FT171" s="251"/>
      <c r="FU171" s="251"/>
      <c r="FV171" s="251"/>
      <c r="FW171" s="251"/>
      <c r="FX171" s="251"/>
      <c r="FY171" s="251"/>
      <c r="FZ171" s="251"/>
      <c r="GA171" s="251"/>
      <c r="GB171" s="251"/>
      <c r="GC171" s="251"/>
      <c r="GD171" s="251"/>
      <c r="GE171" s="251"/>
      <c r="GF171" s="251"/>
      <c r="GG171" s="251"/>
    </row>
    <row r="172" spans="1:189" s="254" customFormat="1" ht="94.5" x14ac:dyDescent="0.25">
      <c r="A172" s="259" t="s">
        <v>95</v>
      </c>
      <c r="B172" s="260">
        <f t="shared" si="111"/>
        <v>942146</v>
      </c>
      <c r="C172" s="260">
        <f t="shared" si="111"/>
        <v>942146</v>
      </c>
      <c r="D172" s="260">
        <f t="shared" si="111"/>
        <v>0</v>
      </c>
      <c r="E172" s="260"/>
      <c r="F172" s="260"/>
      <c r="G172" s="260">
        <f t="shared" si="97"/>
        <v>0</v>
      </c>
      <c r="H172" s="260"/>
      <c r="I172" s="260"/>
      <c r="J172" s="260">
        <f t="shared" si="133"/>
        <v>0</v>
      </c>
      <c r="K172" s="260"/>
      <c r="L172" s="260"/>
      <c r="M172" s="260">
        <f t="shared" si="134"/>
        <v>0</v>
      </c>
      <c r="N172" s="260">
        <f>2000000-1057854</f>
        <v>942146</v>
      </c>
      <c r="O172" s="260">
        <f>2000000-1057854</f>
        <v>942146</v>
      </c>
      <c r="P172" s="260">
        <f t="shared" si="135"/>
        <v>0</v>
      </c>
      <c r="Q172" s="260"/>
      <c r="R172" s="260"/>
      <c r="S172" s="260">
        <f t="shared" si="136"/>
        <v>0</v>
      </c>
      <c r="T172" s="260"/>
      <c r="U172" s="260"/>
      <c r="V172" s="260">
        <f t="shared" si="137"/>
        <v>0</v>
      </c>
      <c r="W172" s="260"/>
      <c r="X172" s="260"/>
      <c r="Y172" s="260">
        <f t="shared" si="138"/>
        <v>0</v>
      </c>
      <c r="Z172" s="260"/>
      <c r="AA172" s="260"/>
      <c r="AB172" s="260">
        <f t="shared" si="139"/>
        <v>0</v>
      </c>
      <c r="FN172" s="251"/>
      <c r="FO172" s="251"/>
      <c r="FP172" s="251"/>
      <c r="FQ172" s="251"/>
      <c r="FR172" s="251"/>
      <c r="FS172" s="251"/>
      <c r="FT172" s="251"/>
      <c r="FU172" s="251"/>
      <c r="FV172" s="251"/>
      <c r="FW172" s="251"/>
      <c r="FX172" s="251"/>
      <c r="FY172" s="251"/>
      <c r="FZ172" s="251"/>
      <c r="GA172" s="251"/>
      <c r="GB172" s="251"/>
      <c r="GC172" s="251"/>
      <c r="GD172" s="251"/>
      <c r="GE172" s="251"/>
      <c r="GF172" s="251"/>
      <c r="GG172" s="251"/>
    </row>
    <row r="173" spans="1:189" s="254" customFormat="1" x14ac:dyDescent="0.25">
      <c r="A173" s="259" t="s">
        <v>96</v>
      </c>
      <c r="B173" s="260">
        <f t="shared" si="111"/>
        <v>20000</v>
      </c>
      <c r="C173" s="260">
        <f t="shared" si="111"/>
        <v>20000</v>
      </c>
      <c r="D173" s="260">
        <f t="shared" si="111"/>
        <v>0</v>
      </c>
      <c r="E173" s="260"/>
      <c r="F173" s="260"/>
      <c r="G173" s="260">
        <f t="shared" si="97"/>
        <v>0</v>
      </c>
      <c r="H173" s="260"/>
      <c r="I173" s="260"/>
      <c r="J173" s="260">
        <f t="shared" si="133"/>
        <v>0</v>
      </c>
      <c r="K173" s="260">
        <v>20000</v>
      </c>
      <c r="L173" s="260">
        <v>20000</v>
      </c>
      <c r="M173" s="260">
        <f t="shared" si="134"/>
        <v>0</v>
      </c>
      <c r="N173" s="260"/>
      <c r="O173" s="260"/>
      <c r="P173" s="260">
        <f t="shared" si="135"/>
        <v>0</v>
      </c>
      <c r="Q173" s="260"/>
      <c r="R173" s="260"/>
      <c r="S173" s="260">
        <f t="shared" si="136"/>
        <v>0</v>
      </c>
      <c r="T173" s="260"/>
      <c r="U173" s="260"/>
      <c r="V173" s="260">
        <f t="shared" si="137"/>
        <v>0</v>
      </c>
      <c r="W173" s="260"/>
      <c r="X173" s="260"/>
      <c r="Y173" s="260">
        <f t="shared" si="138"/>
        <v>0</v>
      </c>
      <c r="Z173" s="260"/>
      <c r="AA173" s="260"/>
      <c r="AB173" s="260">
        <f t="shared" si="139"/>
        <v>0</v>
      </c>
    </row>
    <row r="174" spans="1:189" s="254" customFormat="1" ht="31.5" x14ac:dyDescent="0.25">
      <c r="A174" s="259" t="s">
        <v>97</v>
      </c>
      <c r="B174" s="260">
        <f t="shared" si="111"/>
        <v>30000</v>
      </c>
      <c r="C174" s="260">
        <f t="shared" si="111"/>
        <v>30000</v>
      </c>
      <c r="D174" s="260">
        <f t="shared" si="111"/>
        <v>0</v>
      </c>
      <c r="E174" s="260"/>
      <c r="F174" s="260"/>
      <c r="G174" s="260">
        <f t="shared" si="97"/>
        <v>0</v>
      </c>
      <c r="H174" s="260">
        <v>30000</v>
      </c>
      <c r="I174" s="260">
        <v>30000</v>
      </c>
      <c r="J174" s="260">
        <f t="shared" si="133"/>
        <v>0</v>
      </c>
      <c r="K174" s="260"/>
      <c r="L174" s="260"/>
      <c r="M174" s="260">
        <f t="shared" si="134"/>
        <v>0</v>
      </c>
      <c r="N174" s="260"/>
      <c r="O174" s="260"/>
      <c r="P174" s="260">
        <f t="shared" si="135"/>
        <v>0</v>
      </c>
      <c r="Q174" s="260"/>
      <c r="R174" s="260"/>
      <c r="S174" s="260">
        <f t="shared" si="136"/>
        <v>0</v>
      </c>
      <c r="T174" s="260"/>
      <c r="U174" s="260"/>
      <c r="V174" s="260">
        <f t="shared" si="137"/>
        <v>0</v>
      </c>
      <c r="W174" s="260"/>
      <c r="X174" s="260"/>
      <c r="Y174" s="260">
        <f t="shared" si="138"/>
        <v>0</v>
      </c>
      <c r="Z174" s="260"/>
      <c r="AA174" s="260"/>
      <c r="AB174" s="260">
        <f t="shared" si="139"/>
        <v>0</v>
      </c>
      <c r="FN174" s="251"/>
      <c r="FO174" s="251"/>
      <c r="FP174" s="251"/>
      <c r="FQ174" s="251"/>
      <c r="FR174" s="251"/>
      <c r="FS174" s="251"/>
      <c r="FT174" s="251"/>
      <c r="FU174" s="251"/>
      <c r="FV174" s="251"/>
      <c r="FW174" s="251"/>
      <c r="FX174" s="251"/>
      <c r="FY174" s="251"/>
      <c r="FZ174" s="251"/>
      <c r="GA174" s="251"/>
      <c r="GB174" s="251"/>
      <c r="GC174" s="251"/>
      <c r="GD174" s="251"/>
      <c r="GE174" s="251"/>
      <c r="GF174" s="251"/>
      <c r="GG174" s="251"/>
    </row>
    <row r="175" spans="1:189" s="251" customFormat="1" ht="63" x14ac:dyDescent="0.25">
      <c r="A175" s="264" t="s">
        <v>98</v>
      </c>
      <c r="B175" s="260">
        <f t="shared" si="111"/>
        <v>54873</v>
      </c>
      <c r="C175" s="260">
        <f t="shared" si="111"/>
        <v>54873</v>
      </c>
      <c r="D175" s="260">
        <f t="shared" si="111"/>
        <v>0</v>
      </c>
      <c r="E175" s="260"/>
      <c r="F175" s="260"/>
      <c r="G175" s="260">
        <f t="shared" si="97"/>
        <v>0</v>
      </c>
      <c r="H175" s="260"/>
      <c r="I175" s="260"/>
      <c r="J175" s="260">
        <f t="shared" si="133"/>
        <v>0</v>
      </c>
      <c r="K175" s="260"/>
      <c r="L175" s="260"/>
      <c r="M175" s="260">
        <f t="shared" si="134"/>
        <v>0</v>
      </c>
      <c r="N175" s="260"/>
      <c r="O175" s="260"/>
      <c r="P175" s="260">
        <f t="shared" si="135"/>
        <v>0</v>
      </c>
      <c r="Q175" s="260"/>
      <c r="R175" s="260"/>
      <c r="S175" s="260">
        <f t="shared" si="136"/>
        <v>0</v>
      </c>
      <c r="T175" s="260">
        <v>54873</v>
      </c>
      <c r="U175" s="260">
        <v>54873</v>
      </c>
      <c r="V175" s="260">
        <f t="shared" si="137"/>
        <v>0</v>
      </c>
      <c r="W175" s="260"/>
      <c r="X175" s="260"/>
      <c r="Y175" s="260">
        <f t="shared" si="138"/>
        <v>0</v>
      </c>
      <c r="Z175" s="260"/>
      <c r="AA175" s="260"/>
      <c r="AB175" s="260">
        <f t="shared" si="139"/>
        <v>0</v>
      </c>
      <c r="AC175" s="254"/>
      <c r="AD175" s="254"/>
      <c r="AE175" s="254"/>
      <c r="AF175" s="254"/>
      <c r="AG175" s="254"/>
      <c r="AH175" s="254"/>
      <c r="AI175" s="254"/>
      <c r="AJ175" s="254"/>
      <c r="AK175" s="254"/>
      <c r="AL175" s="254"/>
      <c r="AM175" s="254"/>
      <c r="AN175" s="254"/>
      <c r="AO175" s="254"/>
      <c r="AP175" s="254"/>
      <c r="AQ175" s="254"/>
      <c r="AR175" s="254"/>
      <c r="AS175" s="254"/>
      <c r="AT175" s="254"/>
      <c r="AU175" s="254"/>
      <c r="AV175" s="254"/>
      <c r="AW175" s="254"/>
      <c r="AX175" s="254"/>
      <c r="AY175" s="254"/>
      <c r="AZ175" s="254"/>
      <c r="BA175" s="254"/>
      <c r="BB175" s="254"/>
      <c r="BC175" s="254"/>
      <c r="BD175" s="254"/>
      <c r="BE175" s="254"/>
      <c r="BF175" s="254"/>
      <c r="BG175" s="254"/>
      <c r="BH175" s="254"/>
      <c r="BI175" s="254"/>
      <c r="BJ175" s="254"/>
      <c r="BK175" s="254"/>
      <c r="BL175" s="254"/>
      <c r="BM175" s="254"/>
      <c r="BN175" s="254"/>
      <c r="BO175" s="254"/>
      <c r="BP175" s="254"/>
      <c r="BQ175" s="254"/>
      <c r="BR175" s="254"/>
      <c r="BS175" s="254"/>
      <c r="BT175" s="254"/>
      <c r="BU175" s="254"/>
      <c r="BV175" s="254"/>
      <c r="BW175" s="254"/>
      <c r="BX175" s="254"/>
      <c r="BY175" s="254"/>
      <c r="BZ175" s="254"/>
      <c r="CA175" s="254"/>
      <c r="CB175" s="254"/>
      <c r="CC175" s="254"/>
      <c r="CD175" s="254"/>
      <c r="CE175" s="254"/>
      <c r="CF175" s="254"/>
      <c r="CG175" s="254"/>
      <c r="CH175" s="254"/>
      <c r="CI175" s="254"/>
      <c r="CJ175" s="254"/>
      <c r="CK175" s="254"/>
      <c r="CL175" s="254"/>
      <c r="CM175" s="254"/>
      <c r="CN175" s="254"/>
      <c r="CO175" s="254"/>
      <c r="CP175" s="254"/>
      <c r="CQ175" s="254"/>
      <c r="CR175" s="254"/>
      <c r="CS175" s="254"/>
      <c r="CT175" s="254"/>
      <c r="CU175" s="254"/>
      <c r="CV175" s="254"/>
      <c r="CW175" s="254"/>
      <c r="CX175" s="254"/>
      <c r="CY175" s="254"/>
      <c r="CZ175" s="254"/>
      <c r="DA175" s="254"/>
      <c r="DB175" s="254"/>
      <c r="DC175" s="254"/>
      <c r="DD175" s="254"/>
      <c r="DE175" s="254"/>
      <c r="DF175" s="254"/>
      <c r="DG175" s="254"/>
      <c r="DH175" s="254"/>
      <c r="DI175" s="254"/>
      <c r="DJ175" s="254"/>
      <c r="DK175" s="254"/>
      <c r="DL175" s="254"/>
      <c r="DM175" s="254"/>
      <c r="DN175" s="254"/>
      <c r="DO175" s="254"/>
      <c r="DP175" s="254"/>
      <c r="DQ175" s="254"/>
      <c r="DR175" s="254"/>
      <c r="DS175" s="254"/>
      <c r="DT175" s="254"/>
      <c r="DU175" s="254"/>
      <c r="DV175" s="254"/>
      <c r="DW175" s="254"/>
      <c r="DX175" s="254"/>
      <c r="DY175" s="254"/>
      <c r="DZ175" s="254"/>
      <c r="EA175" s="254"/>
      <c r="EB175" s="254"/>
      <c r="EC175" s="254"/>
      <c r="ED175" s="254"/>
      <c r="EE175" s="254"/>
      <c r="EF175" s="254"/>
      <c r="EG175" s="254"/>
      <c r="EH175" s="254"/>
      <c r="EI175" s="254"/>
      <c r="EJ175" s="254"/>
      <c r="EK175" s="254"/>
      <c r="EL175" s="254"/>
      <c r="EM175" s="254"/>
      <c r="EN175" s="254"/>
      <c r="EO175" s="254"/>
      <c r="EP175" s="254"/>
      <c r="EQ175" s="254"/>
      <c r="ER175" s="254"/>
      <c r="ES175" s="254"/>
      <c r="ET175" s="254"/>
      <c r="EU175" s="254"/>
      <c r="EV175" s="254"/>
      <c r="EW175" s="254"/>
      <c r="EX175" s="254"/>
      <c r="EY175" s="254"/>
      <c r="EZ175" s="254"/>
      <c r="FA175" s="254"/>
      <c r="FB175" s="254"/>
      <c r="FC175" s="254"/>
      <c r="FD175" s="254"/>
      <c r="FE175" s="254"/>
      <c r="FF175" s="254"/>
      <c r="FG175" s="254"/>
      <c r="FH175" s="254"/>
      <c r="FI175" s="254"/>
      <c r="FJ175" s="254"/>
      <c r="FK175" s="254"/>
      <c r="FL175" s="254"/>
      <c r="FM175" s="254"/>
      <c r="FN175" s="254"/>
      <c r="FO175" s="254"/>
      <c r="FP175" s="254"/>
      <c r="FQ175" s="254"/>
      <c r="FR175" s="254"/>
      <c r="FS175" s="254"/>
      <c r="FT175" s="254"/>
      <c r="FU175" s="254"/>
      <c r="FV175" s="254"/>
      <c r="FW175" s="254"/>
      <c r="FX175" s="254"/>
      <c r="FY175" s="254"/>
      <c r="FZ175" s="254"/>
      <c r="GA175" s="254"/>
      <c r="GB175" s="254"/>
      <c r="GC175" s="254"/>
      <c r="GD175" s="254"/>
      <c r="GE175" s="254"/>
      <c r="GF175" s="254"/>
      <c r="GG175" s="254"/>
    </row>
    <row r="176" spans="1:189" s="251" customFormat="1" ht="31.5" x14ac:dyDescent="0.25">
      <c r="A176" s="264" t="s">
        <v>99</v>
      </c>
      <c r="B176" s="260">
        <f t="shared" si="111"/>
        <v>350000</v>
      </c>
      <c r="C176" s="260">
        <f t="shared" si="111"/>
        <v>350000</v>
      </c>
      <c r="D176" s="260">
        <f t="shared" si="111"/>
        <v>0</v>
      </c>
      <c r="E176" s="260">
        <v>46418</v>
      </c>
      <c r="F176" s="260">
        <v>46418</v>
      </c>
      <c r="G176" s="260">
        <f t="shared" si="97"/>
        <v>0</v>
      </c>
      <c r="H176" s="260"/>
      <c r="I176" s="260"/>
      <c r="J176" s="260">
        <f t="shared" si="133"/>
        <v>0</v>
      </c>
      <c r="K176" s="260"/>
      <c r="L176" s="260"/>
      <c r="M176" s="260">
        <f t="shared" si="134"/>
        <v>0</v>
      </c>
      <c r="N176" s="260"/>
      <c r="O176" s="260"/>
      <c r="P176" s="260">
        <f t="shared" si="135"/>
        <v>0</v>
      </c>
      <c r="Q176" s="260"/>
      <c r="R176" s="260"/>
      <c r="S176" s="260">
        <f t="shared" si="136"/>
        <v>0</v>
      </c>
      <c r="T176" s="260">
        <v>303582</v>
      </c>
      <c r="U176" s="260">
        <v>303582</v>
      </c>
      <c r="V176" s="260">
        <f t="shared" si="137"/>
        <v>0</v>
      </c>
      <c r="W176" s="260"/>
      <c r="X176" s="260"/>
      <c r="Y176" s="260">
        <f t="shared" si="138"/>
        <v>0</v>
      </c>
      <c r="Z176" s="260">
        <v>0</v>
      </c>
      <c r="AA176" s="260">
        <v>0</v>
      </c>
      <c r="AB176" s="260">
        <f t="shared" si="139"/>
        <v>0</v>
      </c>
      <c r="AC176" s="254"/>
      <c r="AD176" s="254"/>
      <c r="AE176" s="254"/>
      <c r="AF176" s="254"/>
      <c r="AG176" s="254"/>
      <c r="AH176" s="254"/>
      <c r="AI176" s="254"/>
      <c r="AJ176" s="254"/>
      <c r="AK176" s="254"/>
      <c r="AL176" s="254"/>
      <c r="AM176" s="254"/>
      <c r="AN176" s="254"/>
      <c r="AO176" s="254"/>
      <c r="AP176" s="254"/>
      <c r="AQ176" s="254"/>
      <c r="AR176" s="254"/>
      <c r="AS176" s="254"/>
      <c r="AT176" s="254"/>
      <c r="AU176" s="254"/>
      <c r="AV176" s="254"/>
      <c r="AW176" s="254"/>
      <c r="AX176" s="254"/>
      <c r="AY176" s="254"/>
      <c r="AZ176" s="254"/>
      <c r="BA176" s="254"/>
      <c r="BB176" s="254"/>
      <c r="BC176" s="254"/>
      <c r="BD176" s="254"/>
      <c r="BE176" s="254"/>
      <c r="BF176" s="254"/>
      <c r="BG176" s="254"/>
      <c r="BH176" s="254"/>
      <c r="BI176" s="254"/>
      <c r="BJ176" s="254"/>
      <c r="BK176" s="254"/>
      <c r="BL176" s="254"/>
      <c r="BM176" s="254"/>
      <c r="BN176" s="254"/>
      <c r="BO176" s="254"/>
      <c r="BP176" s="254"/>
      <c r="BQ176" s="254"/>
      <c r="BR176" s="254"/>
      <c r="BS176" s="254"/>
      <c r="BT176" s="254"/>
      <c r="BU176" s="254"/>
      <c r="BV176" s="254"/>
      <c r="BW176" s="254"/>
      <c r="BX176" s="254"/>
      <c r="BY176" s="254"/>
      <c r="BZ176" s="254"/>
      <c r="CA176" s="254"/>
      <c r="CB176" s="254"/>
      <c r="CC176" s="254"/>
      <c r="CD176" s="254"/>
      <c r="CE176" s="254"/>
      <c r="CF176" s="254"/>
      <c r="CG176" s="254"/>
      <c r="CH176" s="254"/>
      <c r="CI176" s="254"/>
      <c r="CJ176" s="254"/>
      <c r="CK176" s="254"/>
      <c r="CL176" s="254"/>
      <c r="CM176" s="254"/>
      <c r="CN176" s="254"/>
      <c r="CO176" s="254"/>
      <c r="CP176" s="254"/>
      <c r="CQ176" s="254"/>
      <c r="CR176" s="254"/>
      <c r="CS176" s="254"/>
      <c r="CT176" s="254"/>
      <c r="CU176" s="254"/>
      <c r="CV176" s="254"/>
      <c r="CW176" s="254"/>
      <c r="CX176" s="254"/>
      <c r="CY176" s="254"/>
      <c r="CZ176" s="254"/>
      <c r="DA176" s="254"/>
      <c r="DB176" s="254"/>
      <c r="DC176" s="254"/>
      <c r="DD176" s="254"/>
      <c r="DE176" s="254"/>
      <c r="DF176" s="254"/>
      <c r="DG176" s="254"/>
      <c r="DH176" s="254"/>
      <c r="DI176" s="254"/>
      <c r="DJ176" s="254"/>
      <c r="DK176" s="254"/>
      <c r="DL176" s="254"/>
      <c r="DM176" s="254"/>
      <c r="DN176" s="254"/>
      <c r="DO176" s="254"/>
      <c r="DP176" s="254"/>
      <c r="DQ176" s="254"/>
      <c r="DR176" s="254"/>
      <c r="DS176" s="254"/>
      <c r="DT176" s="254"/>
      <c r="DU176" s="254"/>
      <c r="DV176" s="254"/>
      <c r="DW176" s="254"/>
      <c r="DX176" s="254"/>
      <c r="DY176" s="254"/>
      <c r="DZ176" s="254"/>
      <c r="EA176" s="254"/>
      <c r="EB176" s="254"/>
      <c r="EC176" s="254"/>
      <c r="ED176" s="254"/>
      <c r="EE176" s="254"/>
      <c r="EF176" s="254"/>
      <c r="EG176" s="254"/>
      <c r="EH176" s="254"/>
      <c r="EI176" s="254"/>
      <c r="EJ176" s="254"/>
      <c r="EK176" s="254"/>
      <c r="EL176" s="254"/>
      <c r="EM176" s="254"/>
      <c r="EN176" s="254"/>
      <c r="EO176" s="254"/>
      <c r="EP176" s="254"/>
      <c r="EQ176" s="254"/>
      <c r="ER176" s="254"/>
      <c r="ES176" s="254"/>
      <c r="ET176" s="254"/>
      <c r="EU176" s="254"/>
      <c r="EV176" s="254"/>
      <c r="EW176" s="254"/>
      <c r="EX176" s="254"/>
      <c r="EY176" s="254"/>
      <c r="EZ176" s="254"/>
      <c r="FA176" s="254"/>
      <c r="FB176" s="254"/>
      <c r="FC176" s="254"/>
      <c r="FD176" s="254"/>
      <c r="FE176" s="254"/>
      <c r="FF176" s="254"/>
      <c r="FG176" s="254"/>
      <c r="FH176" s="254"/>
      <c r="FI176" s="254"/>
      <c r="FJ176" s="254"/>
      <c r="FK176" s="254"/>
      <c r="FL176" s="254"/>
      <c r="FM176" s="254"/>
      <c r="FN176" s="254"/>
      <c r="FO176" s="254"/>
      <c r="FP176" s="254"/>
      <c r="FQ176" s="254"/>
      <c r="FR176" s="254"/>
      <c r="FS176" s="254"/>
      <c r="FT176" s="254"/>
      <c r="FU176" s="254"/>
      <c r="FV176" s="254"/>
      <c r="FW176" s="254"/>
      <c r="FX176" s="254"/>
      <c r="FY176" s="254"/>
      <c r="FZ176" s="254"/>
      <c r="GA176" s="254"/>
      <c r="GB176" s="254"/>
      <c r="GC176" s="254"/>
      <c r="GD176" s="254"/>
      <c r="GE176" s="254"/>
      <c r="GF176" s="254"/>
      <c r="GG176" s="254"/>
    </row>
    <row r="177" spans="1:189" s="254" customFormat="1" x14ac:dyDescent="0.25">
      <c r="A177" s="252" t="s">
        <v>100</v>
      </c>
      <c r="B177" s="253">
        <f t="shared" si="111"/>
        <v>16352383</v>
      </c>
      <c r="C177" s="253">
        <f t="shared" si="111"/>
        <v>16741460</v>
      </c>
      <c r="D177" s="253">
        <f t="shared" si="111"/>
        <v>389077</v>
      </c>
      <c r="E177" s="253">
        <f>SUM(E178,E197,E209,E282,E310,E349,E389,E264)</f>
        <v>821668</v>
      </c>
      <c r="F177" s="253">
        <f>SUM(F178,F197,F209,F282,F310,F349,F389,F264)</f>
        <v>708180</v>
      </c>
      <c r="G177" s="253">
        <f>F177-E177</f>
        <v>-113488</v>
      </c>
      <c r="H177" s="253">
        <f>SUM(H178,H197,H209,H282,H310,H349,H389,H264)</f>
        <v>308228</v>
      </c>
      <c r="I177" s="253">
        <f>SUM(I178,I197,I209,I282,I310,I349,I389,I264)</f>
        <v>376934</v>
      </c>
      <c r="J177" s="253">
        <f t="shared" si="133"/>
        <v>68706</v>
      </c>
      <c r="K177" s="253">
        <f>SUM(K178,K197,K209,K282,K310,K349,K389,K264)</f>
        <v>1062277</v>
      </c>
      <c r="L177" s="253">
        <f>SUM(L178,L197,L209,L282,L310,L349,L389,L264)</f>
        <v>1150240</v>
      </c>
      <c r="M177" s="253">
        <f t="shared" si="134"/>
        <v>87963</v>
      </c>
      <c r="N177" s="253">
        <f>SUM(N178,N197,N209,N282,N310,N349,N389,N264)</f>
        <v>4760186</v>
      </c>
      <c r="O177" s="253">
        <f>SUM(O178,O197,O209,O282,O310,O349,O389,O264)</f>
        <v>5123191</v>
      </c>
      <c r="P177" s="253">
        <f t="shared" si="135"/>
        <v>363005</v>
      </c>
      <c r="Q177" s="253">
        <f>SUM(Q178,Q197,Q209,Q282,Q310,Q349,Q389,Q264)</f>
        <v>493976</v>
      </c>
      <c r="R177" s="253">
        <f>SUM(R178,R197,R209,R282,R310,R349,R389,R264)</f>
        <v>469256</v>
      </c>
      <c r="S177" s="253">
        <f t="shared" si="136"/>
        <v>-24720</v>
      </c>
      <c r="T177" s="253">
        <f>SUM(T178,T197,T209,T282,T310,T349,T389,T264)</f>
        <v>4331414</v>
      </c>
      <c r="U177" s="253">
        <f>SUM(U178,U197,U209,U282,U310,U349,U389,U264)</f>
        <v>4331414</v>
      </c>
      <c r="V177" s="253">
        <f t="shared" si="137"/>
        <v>0</v>
      </c>
      <c r="W177" s="253">
        <f>SUM(W178,W197,W209,W282,W310,W349,W389,W264)</f>
        <v>43750</v>
      </c>
      <c r="X177" s="253">
        <f>SUM(X178,X197,X209,X282,X310,X349,X389,X264)</f>
        <v>851361</v>
      </c>
      <c r="Y177" s="253">
        <f t="shared" si="138"/>
        <v>807611</v>
      </c>
      <c r="Z177" s="253">
        <f>SUM(Z178,Z197,Z209,Z282,Z310,Z349,Z389,Z264)</f>
        <v>4530884</v>
      </c>
      <c r="AA177" s="253">
        <f>SUM(AA178,AA197,AA209,AA282,AA310,AA349,AA389,AA264)</f>
        <v>3730884</v>
      </c>
      <c r="AB177" s="253">
        <f t="shared" si="139"/>
        <v>-800000</v>
      </c>
    </row>
    <row r="178" spans="1:189" s="254" customFormat="1" x14ac:dyDescent="0.25">
      <c r="A178" s="252" t="s">
        <v>12</v>
      </c>
      <c r="B178" s="253">
        <f t="shared" si="111"/>
        <v>196473</v>
      </c>
      <c r="C178" s="253">
        <f t="shared" si="111"/>
        <v>200739</v>
      </c>
      <c r="D178" s="253">
        <f>G178+J178+M178+P178+S178+V178+AB178+Y178</f>
        <v>4266</v>
      </c>
      <c r="E178" s="253">
        <f>SUM(E179,E186,E188,E192,E194)</f>
        <v>0</v>
      </c>
      <c r="F178" s="253">
        <f>SUM(F179,F186,F188,F192,F194)</f>
        <v>0</v>
      </c>
      <c r="G178" s="253">
        <f>F178-E178</f>
        <v>0</v>
      </c>
      <c r="H178" s="253">
        <f t="shared" ref="H178" si="161">SUM(H179,H186,H188,H192,H194)</f>
        <v>0</v>
      </c>
      <c r="I178" s="253">
        <f t="shared" ref="I178" si="162">SUM(I179,I186,I188,I192,I194)</f>
        <v>0</v>
      </c>
      <c r="J178" s="253">
        <f t="shared" si="133"/>
        <v>0</v>
      </c>
      <c r="K178" s="253">
        <f t="shared" ref="K178" si="163">SUM(K179,K186,K188,K192,K194)</f>
        <v>125989</v>
      </c>
      <c r="L178" s="253">
        <f t="shared" ref="L178" si="164">SUM(L179,L186,L188,L192,L194)</f>
        <v>130255</v>
      </c>
      <c r="M178" s="253">
        <f t="shared" si="134"/>
        <v>4266</v>
      </c>
      <c r="N178" s="253">
        <f t="shared" ref="N178" si="165">SUM(N179,N186,N188,N192,N194)</f>
        <v>0</v>
      </c>
      <c r="O178" s="253">
        <f t="shared" ref="O178" si="166">SUM(O179,O186,O188,O192,O194)</f>
        <v>0</v>
      </c>
      <c r="P178" s="253">
        <f t="shared" si="135"/>
        <v>0</v>
      </c>
      <c r="Q178" s="253">
        <f t="shared" ref="Q178" si="167">SUM(Q179,Q186,Q188,Q192,Q194)</f>
        <v>0</v>
      </c>
      <c r="R178" s="253">
        <f t="shared" ref="R178" si="168">SUM(R179,R186,R188,R192,R194)</f>
        <v>0</v>
      </c>
      <c r="S178" s="253">
        <f t="shared" si="136"/>
        <v>0</v>
      </c>
      <c r="T178" s="253">
        <f t="shared" ref="T178" si="169">SUM(T179,T186,T188,T192,T194)</f>
        <v>0</v>
      </c>
      <c r="U178" s="253">
        <f t="shared" ref="U178" si="170">SUM(U179,U186,U188,U192,U194)</f>
        <v>0</v>
      </c>
      <c r="V178" s="253">
        <f t="shared" si="137"/>
        <v>0</v>
      </c>
      <c r="W178" s="253">
        <f t="shared" ref="W178:X178" si="171">SUM(W179,W186,W188,W192,W194)</f>
        <v>0</v>
      </c>
      <c r="X178" s="253">
        <f t="shared" si="171"/>
        <v>0</v>
      </c>
      <c r="Y178" s="253">
        <f t="shared" si="138"/>
        <v>0</v>
      </c>
      <c r="Z178" s="253">
        <f t="shared" ref="Z178" si="172">SUM(Z179,Z186,Z188,Z192,Z194)</f>
        <v>70484</v>
      </c>
      <c r="AA178" s="253">
        <f t="shared" ref="AA178" si="173">SUM(AA179,AA186,AA188,AA192,AA194)</f>
        <v>70484</v>
      </c>
      <c r="AB178" s="253">
        <f t="shared" si="139"/>
        <v>0</v>
      </c>
    </row>
    <row r="179" spans="1:189" s="254" customFormat="1" x14ac:dyDescent="0.25">
      <c r="A179" s="252" t="s">
        <v>101</v>
      </c>
      <c r="B179" s="253">
        <f t="shared" si="111"/>
        <v>73596</v>
      </c>
      <c r="C179" s="253">
        <f t="shared" si="111"/>
        <v>73722</v>
      </c>
      <c r="D179" s="253">
        <f t="shared" si="111"/>
        <v>126</v>
      </c>
      <c r="E179" s="253">
        <f t="shared" ref="E179" si="174">SUM(E180:E185)</f>
        <v>0</v>
      </c>
      <c r="F179" s="253">
        <f t="shared" ref="F179" si="175">SUM(F180:F185)</f>
        <v>0</v>
      </c>
      <c r="G179" s="253">
        <f t="shared" si="97"/>
        <v>0</v>
      </c>
      <c r="H179" s="253">
        <f t="shared" ref="H179" si="176">SUM(H180:H185)</f>
        <v>0</v>
      </c>
      <c r="I179" s="253">
        <f t="shared" ref="I179:AA179" si="177">SUM(I180:I185)</f>
        <v>0</v>
      </c>
      <c r="J179" s="253">
        <f t="shared" si="133"/>
        <v>0</v>
      </c>
      <c r="K179" s="253">
        <f t="shared" ref="K179" si="178">SUM(K180:K185)</f>
        <v>73596</v>
      </c>
      <c r="L179" s="253">
        <f t="shared" si="177"/>
        <v>73722</v>
      </c>
      <c r="M179" s="253">
        <f t="shared" si="134"/>
        <v>126</v>
      </c>
      <c r="N179" s="253">
        <f t="shared" ref="N179" si="179">SUM(N180:N185)</f>
        <v>0</v>
      </c>
      <c r="O179" s="253">
        <f t="shared" si="177"/>
        <v>0</v>
      </c>
      <c r="P179" s="253">
        <f t="shared" si="135"/>
        <v>0</v>
      </c>
      <c r="Q179" s="253">
        <f t="shared" ref="Q179" si="180">SUM(Q180:Q185)</f>
        <v>0</v>
      </c>
      <c r="R179" s="253">
        <f t="shared" si="177"/>
        <v>0</v>
      </c>
      <c r="S179" s="253">
        <f t="shared" si="136"/>
        <v>0</v>
      </c>
      <c r="T179" s="253">
        <f t="shared" ref="T179" si="181">SUM(T180:T185)</f>
        <v>0</v>
      </c>
      <c r="U179" s="253">
        <f t="shared" si="177"/>
        <v>0</v>
      </c>
      <c r="V179" s="253">
        <f t="shared" si="137"/>
        <v>0</v>
      </c>
      <c r="W179" s="253">
        <f t="shared" ref="W179" si="182">SUM(W180:W185)</f>
        <v>0</v>
      </c>
      <c r="X179" s="253">
        <f t="shared" si="177"/>
        <v>0</v>
      </c>
      <c r="Y179" s="253">
        <f t="shared" si="138"/>
        <v>0</v>
      </c>
      <c r="Z179" s="253">
        <f t="shared" ref="Z179" si="183">SUM(Z180:Z185)</f>
        <v>0</v>
      </c>
      <c r="AA179" s="253">
        <f t="shared" si="177"/>
        <v>0</v>
      </c>
      <c r="AB179" s="253">
        <f t="shared" si="139"/>
        <v>0</v>
      </c>
    </row>
    <row r="180" spans="1:189" s="254" customFormat="1" ht="31.5" x14ac:dyDescent="0.25">
      <c r="A180" s="259" t="s">
        <v>102</v>
      </c>
      <c r="B180" s="260">
        <f t="shared" si="111"/>
        <v>60280</v>
      </c>
      <c r="C180" s="260">
        <f t="shared" si="111"/>
        <v>60280</v>
      </c>
      <c r="D180" s="260">
        <f t="shared" si="111"/>
        <v>0</v>
      </c>
      <c r="E180" s="260"/>
      <c r="F180" s="260"/>
      <c r="G180" s="260">
        <f t="shared" si="97"/>
        <v>0</v>
      </c>
      <c r="H180" s="260"/>
      <c r="I180" s="260"/>
      <c r="J180" s="260">
        <f t="shared" si="133"/>
        <v>0</v>
      </c>
      <c r="K180" s="260">
        <f>70000-9720</f>
        <v>60280</v>
      </c>
      <c r="L180" s="260">
        <f>70000-9720</f>
        <v>60280</v>
      </c>
      <c r="M180" s="260">
        <f t="shared" si="134"/>
        <v>0</v>
      </c>
      <c r="N180" s="260"/>
      <c r="O180" s="260"/>
      <c r="P180" s="260">
        <f t="shared" si="135"/>
        <v>0</v>
      </c>
      <c r="Q180" s="260"/>
      <c r="R180" s="260"/>
      <c r="S180" s="260">
        <f t="shared" si="136"/>
        <v>0</v>
      </c>
      <c r="T180" s="260"/>
      <c r="U180" s="260"/>
      <c r="V180" s="260">
        <f t="shared" si="137"/>
        <v>0</v>
      </c>
      <c r="W180" s="260"/>
      <c r="X180" s="260"/>
      <c r="Y180" s="260">
        <f t="shared" si="138"/>
        <v>0</v>
      </c>
      <c r="Z180" s="260"/>
      <c r="AA180" s="260"/>
      <c r="AB180" s="260">
        <f t="shared" si="139"/>
        <v>0</v>
      </c>
    </row>
    <row r="181" spans="1:189" s="254" customFormat="1" ht="47.25" x14ac:dyDescent="0.25">
      <c r="A181" s="259" t="s">
        <v>482</v>
      </c>
      <c r="B181" s="260">
        <f t="shared" si="111"/>
        <v>9720</v>
      </c>
      <c r="C181" s="260">
        <f t="shared" si="111"/>
        <v>9720</v>
      </c>
      <c r="D181" s="260">
        <f t="shared" si="111"/>
        <v>0</v>
      </c>
      <c r="E181" s="260"/>
      <c r="F181" s="260"/>
      <c r="G181" s="260">
        <f t="shared" si="97"/>
        <v>0</v>
      </c>
      <c r="H181" s="260"/>
      <c r="I181" s="260"/>
      <c r="J181" s="260">
        <f t="shared" si="133"/>
        <v>0</v>
      </c>
      <c r="K181" s="260">
        <v>9720</v>
      </c>
      <c r="L181" s="260">
        <v>9720</v>
      </c>
      <c r="M181" s="260">
        <f t="shared" si="134"/>
        <v>0</v>
      </c>
      <c r="N181" s="260"/>
      <c r="O181" s="260"/>
      <c r="P181" s="260">
        <f t="shared" si="135"/>
        <v>0</v>
      </c>
      <c r="Q181" s="260"/>
      <c r="R181" s="260"/>
      <c r="S181" s="260">
        <f t="shared" si="136"/>
        <v>0</v>
      </c>
      <c r="T181" s="260"/>
      <c r="U181" s="260"/>
      <c r="V181" s="260">
        <f t="shared" si="137"/>
        <v>0</v>
      </c>
      <c r="W181" s="260"/>
      <c r="X181" s="260"/>
      <c r="Y181" s="260">
        <f t="shared" si="138"/>
        <v>0</v>
      </c>
      <c r="Z181" s="260"/>
      <c r="AA181" s="260"/>
      <c r="AB181" s="260">
        <f t="shared" si="139"/>
        <v>0</v>
      </c>
    </row>
    <row r="182" spans="1:189" s="254" customFormat="1" ht="31.5" x14ac:dyDescent="0.25">
      <c r="A182" s="259" t="s">
        <v>237</v>
      </c>
      <c r="B182" s="260">
        <f t="shared" si="111"/>
        <v>918</v>
      </c>
      <c r="C182" s="260">
        <f t="shared" si="111"/>
        <v>918</v>
      </c>
      <c r="D182" s="260">
        <f t="shared" si="111"/>
        <v>0</v>
      </c>
      <c r="E182" s="260"/>
      <c r="F182" s="260"/>
      <c r="G182" s="260">
        <f t="shared" si="97"/>
        <v>0</v>
      </c>
      <c r="H182" s="260"/>
      <c r="I182" s="260"/>
      <c r="J182" s="260">
        <f t="shared" si="133"/>
        <v>0</v>
      </c>
      <c r="K182" s="260">
        <v>918</v>
      </c>
      <c r="L182" s="260">
        <v>918</v>
      </c>
      <c r="M182" s="260">
        <f t="shared" si="134"/>
        <v>0</v>
      </c>
      <c r="N182" s="260"/>
      <c r="O182" s="260"/>
      <c r="P182" s="260">
        <f t="shared" si="135"/>
        <v>0</v>
      </c>
      <c r="Q182" s="260"/>
      <c r="R182" s="260"/>
      <c r="S182" s="260">
        <f t="shared" si="136"/>
        <v>0</v>
      </c>
      <c r="T182" s="260"/>
      <c r="U182" s="260"/>
      <c r="V182" s="260">
        <f t="shared" si="137"/>
        <v>0</v>
      </c>
      <c r="W182" s="260"/>
      <c r="X182" s="260"/>
      <c r="Y182" s="260">
        <f t="shared" si="138"/>
        <v>0</v>
      </c>
      <c r="Z182" s="260"/>
      <c r="AA182" s="260"/>
      <c r="AB182" s="260">
        <f t="shared" si="139"/>
        <v>0</v>
      </c>
    </row>
    <row r="183" spans="1:189" s="254" customFormat="1" ht="31.5" x14ac:dyDescent="0.25">
      <c r="A183" s="259" t="s">
        <v>103</v>
      </c>
      <c r="B183" s="260">
        <f t="shared" si="111"/>
        <v>1198</v>
      </c>
      <c r="C183" s="260">
        <f t="shared" si="111"/>
        <v>1198</v>
      </c>
      <c r="D183" s="260">
        <f t="shared" si="111"/>
        <v>0</v>
      </c>
      <c r="E183" s="260"/>
      <c r="F183" s="260"/>
      <c r="G183" s="260">
        <f t="shared" si="97"/>
        <v>0</v>
      </c>
      <c r="H183" s="260"/>
      <c r="I183" s="260"/>
      <c r="J183" s="260">
        <f t="shared" si="133"/>
        <v>0</v>
      </c>
      <c r="K183" s="260">
        <v>1198</v>
      </c>
      <c r="L183" s="260">
        <v>1198</v>
      </c>
      <c r="M183" s="260">
        <f t="shared" si="134"/>
        <v>0</v>
      </c>
      <c r="N183" s="260"/>
      <c r="O183" s="260"/>
      <c r="P183" s="260">
        <f t="shared" si="135"/>
        <v>0</v>
      </c>
      <c r="Q183" s="260"/>
      <c r="R183" s="260"/>
      <c r="S183" s="260">
        <f t="shared" si="136"/>
        <v>0</v>
      </c>
      <c r="T183" s="260"/>
      <c r="U183" s="260"/>
      <c r="V183" s="260">
        <f t="shared" si="137"/>
        <v>0</v>
      </c>
      <c r="W183" s="260"/>
      <c r="X183" s="260"/>
      <c r="Y183" s="260">
        <f t="shared" si="138"/>
        <v>0</v>
      </c>
      <c r="Z183" s="260"/>
      <c r="AA183" s="260"/>
      <c r="AB183" s="260">
        <f t="shared" si="139"/>
        <v>0</v>
      </c>
    </row>
    <row r="184" spans="1:189" s="254" customFormat="1" ht="31.5" x14ac:dyDescent="0.25">
      <c r="A184" s="259" t="s">
        <v>563</v>
      </c>
      <c r="B184" s="260">
        <f t="shared" ref="B184" si="184">E184+H184+K184+N184+Q184+T184+Z184+W184</f>
        <v>0</v>
      </c>
      <c r="C184" s="260">
        <f t="shared" ref="C184" si="185">F184+I184+L184+O184+R184+U184+AA184+X184</f>
        <v>648</v>
      </c>
      <c r="D184" s="260">
        <f t="shared" ref="D184" si="186">G184+J184+M184+P184+S184+V184+AB184+Y184</f>
        <v>648</v>
      </c>
      <c r="E184" s="260"/>
      <c r="F184" s="260"/>
      <c r="G184" s="260">
        <f t="shared" ref="G184" si="187">F184-E184</f>
        <v>0</v>
      </c>
      <c r="H184" s="260"/>
      <c r="I184" s="260"/>
      <c r="J184" s="260">
        <f t="shared" ref="J184" si="188">I184-H184</f>
        <v>0</v>
      </c>
      <c r="K184" s="260">
        <v>0</v>
      </c>
      <c r="L184" s="260">
        <v>648</v>
      </c>
      <c r="M184" s="260">
        <f t="shared" ref="M184" si="189">L184-K184</f>
        <v>648</v>
      </c>
      <c r="N184" s="260"/>
      <c r="O184" s="260"/>
      <c r="P184" s="260">
        <f t="shared" ref="P184" si="190">O184-N184</f>
        <v>0</v>
      </c>
      <c r="Q184" s="260"/>
      <c r="R184" s="260"/>
      <c r="S184" s="260">
        <f t="shared" ref="S184" si="191">R184-Q184</f>
        <v>0</v>
      </c>
      <c r="T184" s="260"/>
      <c r="U184" s="260"/>
      <c r="V184" s="260">
        <f t="shared" ref="V184" si="192">U184-T184</f>
        <v>0</v>
      </c>
      <c r="W184" s="260"/>
      <c r="X184" s="260"/>
      <c r="Y184" s="260">
        <f t="shared" ref="Y184" si="193">X184-W184</f>
        <v>0</v>
      </c>
      <c r="Z184" s="260"/>
      <c r="AA184" s="260"/>
      <c r="AB184" s="260">
        <f t="shared" ref="AB184" si="194">AA184-Z184</f>
        <v>0</v>
      </c>
    </row>
    <row r="185" spans="1:189" s="254" customFormat="1" ht="31.5" x14ac:dyDescent="0.25">
      <c r="A185" s="259" t="s">
        <v>104</v>
      </c>
      <c r="B185" s="260">
        <f t="shared" si="111"/>
        <v>1480</v>
      </c>
      <c r="C185" s="260">
        <f t="shared" si="111"/>
        <v>958</v>
      </c>
      <c r="D185" s="260">
        <f t="shared" si="111"/>
        <v>-522</v>
      </c>
      <c r="E185" s="260"/>
      <c r="F185" s="260"/>
      <c r="G185" s="260">
        <f t="shared" si="97"/>
        <v>0</v>
      </c>
      <c r="H185" s="260"/>
      <c r="I185" s="260"/>
      <c r="J185" s="260">
        <f t="shared" si="133"/>
        <v>0</v>
      </c>
      <c r="K185" s="260">
        <f>1164+316</f>
        <v>1480</v>
      </c>
      <c r="L185" s="260">
        <f>1164+316-522</f>
        <v>958</v>
      </c>
      <c r="M185" s="260">
        <f t="shared" si="134"/>
        <v>-522</v>
      </c>
      <c r="N185" s="260"/>
      <c r="O185" s="260"/>
      <c r="P185" s="260">
        <f t="shared" si="135"/>
        <v>0</v>
      </c>
      <c r="Q185" s="260"/>
      <c r="R185" s="260"/>
      <c r="S185" s="260">
        <f t="shared" si="136"/>
        <v>0</v>
      </c>
      <c r="T185" s="260"/>
      <c r="U185" s="260"/>
      <c r="V185" s="260">
        <f t="shared" si="137"/>
        <v>0</v>
      </c>
      <c r="W185" s="260"/>
      <c r="X185" s="260"/>
      <c r="Y185" s="260">
        <f t="shared" si="138"/>
        <v>0</v>
      </c>
      <c r="Z185" s="260"/>
      <c r="AA185" s="260"/>
      <c r="AB185" s="260">
        <f t="shared" si="139"/>
        <v>0</v>
      </c>
    </row>
    <row r="186" spans="1:189" s="251" customFormat="1" x14ac:dyDescent="0.25">
      <c r="A186" s="252" t="s">
        <v>105</v>
      </c>
      <c r="B186" s="253">
        <f t="shared" si="111"/>
        <v>44144</v>
      </c>
      <c r="C186" s="253">
        <f t="shared" si="111"/>
        <v>44144</v>
      </c>
      <c r="D186" s="253">
        <f t="shared" si="111"/>
        <v>0</v>
      </c>
      <c r="E186" s="253">
        <f t="shared" ref="E186:AA186" si="195">SUM(E187:E187)</f>
        <v>0</v>
      </c>
      <c r="F186" s="253">
        <f t="shared" si="195"/>
        <v>0</v>
      </c>
      <c r="G186" s="253">
        <f t="shared" si="97"/>
        <v>0</v>
      </c>
      <c r="H186" s="253">
        <f t="shared" si="195"/>
        <v>0</v>
      </c>
      <c r="I186" s="253">
        <f t="shared" si="195"/>
        <v>0</v>
      </c>
      <c r="J186" s="253">
        <f t="shared" si="133"/>
        <v>0</v>
      </c>
      <c r="K186" s="253">
        <f t="shared" si="195"/>
        <v>0</v>
      </c>
      <c r="L186" s="253">
        <f t="shared" si="195"/>
        <v>0</v>
      </c>
      <c r="M186" s="253">
        <f t="shared" si="134"/>
        <v>0</v>
      </c>
      <c r="N186" s="253">
        <f t="shared" si="195"/>
        <v>0</v>
      </c>
      <c r="O186" s="253">
        <f t="shared" si="195"/>
        <v>0</v>
      </c>
      <c r="P186" s="253">
        <f t="shared" si="135"/>
        <v>0</v>
      </c>
      <c r="Q186" s="253">
        <f t="shared" si="195"/>
        <v>0</v>
      </c>
      <c r="R186" s="253">
        <f t="shared" si="195"/>
        <v>0</v>
      </c>
      <c r="S186" s="253">
        <f t="shared" si="136"/>
        <v>0</v>
      </c>
      <c r="T186" s="253">
        <f t="shared" si="195"/>
        <v>0</v>
      </c>
      <c r="U186" s="253">
        <f t="shared" si="195"/>
        <v>0</v>
      </c>
      <c r="V186" s="253">
        <f t="shared" si="137"/>
        <v>0</v>
      </c>
      <c r="W186" s="253">
        <f t="shared" si="195"/>
        <v>0</v>
      </c>
      <c r="X186" s="253">
        <f t="shared" si="195"/>
        <v>0</v>
      </c>
      <c r="Y186" s="253">
        <f t="shared" si="138"/>
        <v>0</v>
      </c>
      <c r="Z186" s="253">
        <f t="shared" si="195"/>
        <v>44144</v>
      </c>
      <c r="AA186" s="253">
        <f t="shared" si="195"/>
        <v>44144</v>
      </c>
      <c r="AB186" s="253">
        <f t="shared" si="139"/>
        <v>0</v>
      </c>
      <c r="AC186" s="254"/>
      <c r="AD186" s="254"/>
      <c r="AE186" s="254"/>
      <c r="AF186" s="254"/>
      <c r="AG186" s="254"/>
      <c r="AH186" s="254"/>
      <c r="AI186" s="254"/>
      <c r="AJ186" s="254"/>
      <c r="AK186" s="254"/>
      <c r="AL186" s="254"/>
      <c r="AM186" s="254"/>
      <c r="AN186" s="254"/>
      <c r="AO186" s="254"/>
      <c r="AP186" s="254"/>
      <c r="AQ186" s="254"/>
      <c r="AR186" s="254"/>
      <c r="AS186" s="254"/>
      <c r="AT186" s="254"/>
      <c r="AU186" s="254"/>
      <c r="AV186" s="254"/>
      <c r="AW186" s="254"/>
      <c r="AX186" s="254"/>
      <c r="AY186" s="254"/>
      <c r="AZ186" s="254"/>
      <c r="BA186" s="254"/>
      <c r="BB186" s="254"/>
      <c r="BC186" s="254"/>
      <c r="BD186" s="254"/>
      <c r="BE186" s="254"/>
      <c r="BF186" s="254"/>
      <c r="BG186" s="254"/>
      <c r="BH186" s="254"/>
      <c r="BI186" s="254"/>
      <c r="BJ186" s="254"/>
      <c r="BK186" s="254"/>
      <c r="BL186" s="254"/>
      <c r="BM186" s="254"/>
      <c r="BN186" s="254"/>
      <c r="BO186" s="254"/>
      <c r="BP186" s="254"/>
      <c r="BQ186" s="254"/>
      <c r="BR186" s="254"/>
      <c r="BS186" s="254"/>
      <c r="BT186" s="254"/>
      <c r="BU186" s="254"/>
      <c r="BV186" s="254"/>
      <c r="BW186" s="254"/>
      <c r="BX186" s="254"/>
      <c r="BY186" s="254"/>
      <c r="BZ186" s="254"/>
      <c r="CA186" s="254"/>
      <c r="CB186" s="254"/>
      <c r="CC186" s="254"/>
      <c r="CD186" s="254"/>
      <c r="CE186" s="254"/>
      <c r="CF186" s="254"/>
      <c r="CG186" s="254"/>
      <c r="CH186" s="254"/>
      <c r="CI186" s="254"/>
      <c r="CJ186" s="254"/>
      <c r="CK186" s="254"/>
      <c r="CL186" s="254"/>
      <c r="CM186" s="254"/>
      <c r="CN186" s="254"/>
      <c r="CO186" s="254"/>
      <c r="CP186" s="254"/>
      <c r="CQ186" s="254"/>
      <c r="CR186" s="254"/>
      <c r="CS186" s="254"/>
      <c r="CT186" s="254"/>
      <c r="CU186" s="254"/>
      <c r="CV186" s="254"/>
      <c r="CW186" s="254"/>
      <c r="CX186" s="254"/>
      <c r="CY186" s="254"/>
      <c r="CZ186" s="254"/>
      <c r="DA186" s="254"/>
      <c r="DB186" s="254"/>
      <c r="DC186" s="254"/>
      <c r="DD186" s="254"/>
      <c r="DE186" s="254"/>
      <c r="DF186" s="254"/>
      <c r="DG186" s="254"/>
      <c r="DH186" s="254"/>
      <c r="DI186" s="254"/>
      <c r="DJ186" s="254"/>
      <c r="DK186" s="254"/>
      <c r="DL186" s="254"/>
      <c r="DM186" s="254"/>
      <c r="DN186" s="254"/>
      <c r="DO186" s="254"/>
      <c r="DP186" s="254"/>
      <c r="DQ186" s="254"/>
      <c r="DR186" s="254"/>
      <c r="DS186" s="254"/>
      <c r="DT186" s="254"/>
      <c r="DU186" s="254"/>
      <c r="DV186" s="254"/>
      <c r="DW186" s="254"/>
      <c r="DX186" s="254"/>
      <c r="DY186" s="254"/>
      <c r="DZ186" s="254"/>
      <c r="EA186" s="254"/>
      <c r="EB186" s="254"/>
      <c r="EC186" s="254"/>
      <c r="ED186" s="254"/>
      <c r="EE186" s="254"/>
      <c r="EF186" s="254"/>
      <c r="EG186" s="254"/>
      <c r="EH186" s="254"/>
      <c r="EI186" s="254"/>
      <c r="EJ186" s="254"/>
      <c r="EK186" s="254"/>
      <c r="EL186" s="254"/>
      <c r="EM186" s="254"/>
      <c r="EN186" s="254"/>
      <c r="EO186" s="254"/>
      <c r="EP186" s="254"/>
      <c r="EQ186" s="254"/>
      <c r="ER186" s="254"/>
      <c r="ES186" s="254"/>
      <c r="ET186" s="254"/>
      <c r="EU186" s="254"/>
      <c r="EV186" s="254"/>
      <c r="EW186" s="254"/>
      <c r="EX186" s="254"/>
      <c r="EY186" s="254"/>
      <c r="EZ186" s="254"/>
      <c r="FA186" s="254"/>
      <c r="FB186" s="254"/>
      <c r="FC186" s="254"/>
      <c r="FD186" s="254"/>
      <c r="FE186" s="254"/>
      <c r="FF186" s="254"/>
      <c r="FG186" s="254"/>
      <c r="FH186" s="254"/>
      <c r="FI186" s="254"/>
      <c r="FJ186" s="254"/>
      <c r="FK186" s="254"/>
      <c r="FL186" s="254"/>
      <c r="FM186" s="254"/>
      <c r="FN186" s="254"/>
      <c r="FO186" s="254"/>
      <c r="FP186" s="254"/>
      <c r="FQ186" s="254"/>
      <c r="FR186" s="254"/>
      <c r="FS186" s="254"/>
      <c r="FT186" s="254"/>
      <c r="FU186" s="254"/>
      <c r="FV186" s="254"/>
      <c r="FW186" s="254"/>
      <c r="FX186" s="254"/>
      <c r="FY186" s="254"/>
      <c r="FZ186" s="254"/>
      <c r="GA186" s="254"/>
      <c r="GB186" s="254"/>
      <c r="GC186" s="254"/>
      <c r="GD186" s="254"/>
      <c r="GE186" s="254"/>
      <c r="GF186" s="254"/>
      <c r="GG186" s="254"/>
    </row>
    <row r="187" spans="1:189" s="254" customFormat="1" ht="47.25" x14ac:dyDescent="0.25">
      <c r="A187" s="264" t="s">
        <v>106</v>
      </c>
      <c r="B187" s="260">
        <f t="shared" si="111"/>
        <v>44144</v>
      </c>
      <c r="C187" s="260">
        <f t="shared" si="111"/>
        <v>44144</v>
      </c>
      <c r="D187" s="260">
        <f t="shared" si="111"/>
        <v>0</v>
      </c>
      <c r="E187" s="260"/>
      <c r="F187" s="260"/>
      <c r="G187" s="260">
        <f t="shared" si="97"/>
        <v>0</v>
      </c>
      <c r="H187" s="260"/>
      <c r="I187" s="260"/>
      <c r="J187" s="260">
        <f t="shared" si="133"/>
        <v>0</v>
      </c>
      <c r="K187" s="260">
        <v>0</v>
      </c>
      <c r="L187" s="260">
        <v>0</v>
      </c>
      <c r="M187" s="260">
        <f t="shared" si="134"/>
        <v>0</v>
      </c>
      <c r="N187" s="260"/>
      <c r="O187" s="260"/>
      <c r="P187" s="260">
        <f t="shared" si="135"/>
        <v>0</v>
      </c>
      <c r="Q187" s="260"/>
      <c r="R187" s="260"/>
      <c r="S187" s="260">
        <f t="shared" si="136"/>
        <v>0</v>
      </c>
      <c r="T187" s="260"/>
      <c r="U187" s="260"/>
      <c r="V187" s="260">
        <f t="shared" si="137"/>
        <v>0</v>
      </c>
      <c r="W187" s="260"/>
      <c r="X187" s="260"/>
      <c r="Y187" s="260">
        <f t="shared" si="138"/>
        <v>0</v>
      </c>
      <c r="Z187" s="260">
        <v>44144</v>
      </c>
      <c r="AA187" s="260">
        <v>44144</v>
      </c>
      <c r="AB187" s="260">
        <f t="shared" si="139"/>
        <v>0</v>
      </c>
      <c r="FN187" s="251"/>
      <c r="FO187" s="251"/>
      <c r="FP187" s="251"/>
      <c r="FQ187" s="251"/>
      <c r="FR187" s="251"/>
      <c r="FS187" s="251"/>
      <c r="FT187" s="251"/>
      <c r="FU187" s="251"/>
      <c r="FV187" s="251"/>
      <c r="FW187" s="251"/>
      <c r="FX187" s="251"/>
      <c r="FY187" s="251"/>
      <c r="FZ187" s="251"/>
      <c r="GA187" s="251"/>
      <c r="GB187" s="251"/>
      <c r="GC187" s="251"/>
      <c r="GD187" s="251"/>
      <c r="GE187" s="251"/>
      <c r="GF187" s="251"/>
      <c r="GG187" s="251"/>
    </row>
    <row r="188" spans="1:189" s="254" customFormat="1" ht="31.5" x14ac:dyDescent="0.25">
      <c r="A188" s="252" t="s">
        <v>107</v>
      </c>
      <c r="B188" s="253">
        <f t="shared" si="111"/>
        <v>44029</v>
      </c>
      <c r="C188" s="253">
        <f t="shared" si="111"/>
        <v>44029</v>
      </c>
      <c r="D188" s="253">
        <f t="shared" si="111"/>
        <v>0</v>
      </c>
      <c r="E188" s="253">
        <f t="shared" ref="E188" si="196">SUM(E189:E191)</f>
        <v>0</v>
      </c>
      <c r="F188" s="253">
        <f t="shared" ref="F188:AA188" si="197">SUM(F189:F191)</f>
        <v>0</v>
      </c>
      <c r="G188" s="253">
        <f t="shared" si="97"/>
        <v>0</v>
      </c>
      <c r="H188" s="253">
        <f t="shared" ref="H188" si="198">SUM(H189:H191)</f>
        <v>0</v>
      </c>
      <c r="I188" s="253">
        <f t="shared" si="197"/>
        <v>0</v>
      </c>
      <c r="J188" s="253">
        <f t="shared" si="133"/>
        <v>0</v>
      </c>
      <c r="K188" s="253">
        <f t="shared" ref="K188" si="199">SUM(K189:K191)</f>
        <v>44029</v>
      </c>
      <c r="L188" s="253">
        <f t="shared" si="197"/>
        <v>44029</v>
      </c>
      <c r="M188" s="253">
        <f t="shared" si="134"/>
        <v>0</v>
      </c>
      <c r="N188" s="253">
        <f t="shared" ref="N188" si="200">SUM(N189:N191)</f>
        <v>0</v>
      </c>
      <c r="O188" s="253">
        <f t="shared" si="197"/>
        <v>0</v>
      </c>
      <c r="P188" s="253">
        <f t="shared" si="135"/>
        <v>0</v>
      </c>
      <c r="Q188" s="253">
        <f t="shared" ref="Q188" si="201">SUM(Q189:Q191)</f>
        <v>0</v>
      </c>
      <c r="R188" s="253">
        <f t="shared" si="197"/>
        <v>0</v>
      </c>
      <c r="S188" s="253">
        <f t="shared" si="136"/>
        <v>0</v>
      </c>
      <c r="T188" s="253">
        <f t="shared" ref="T188" si="202">SUM(T189:T191)</f>
        <v>0</v>
      </c>
      <c r="U188" s="253">
        <f t="shared" si="197"/>
        <v>0</v>
      </c>
      <c r="V188" s="253">
        <f t="shared" si="137"/>
        <v>0</v>
      </c>
      <c r="W188" s="253">
        <f t="shared" ref="W188" si="203">SUM(W189:W191)</f>
        <v>0</v>
      </c>
      <c r="X188" s="253">
        <f t="shared" si="197"/>
        <v>0</v>
      </c>
      <c r="Y188" s="253">
        <f t="shared" si="138"/>
        <v>0</v>
      </c>
      <c r="Z188" s="253">
        <f t="shared" ref="Z188" si="204">SUM(Z189:Z191)</f>
        <v>0</v>
      </c>
      <c r="AA188" s="253">
        <f t="shared" si="197"/>
        <v>0</v>
      </c>
      <c r="AB188" s="253">
        <f t="shared" si="139"/>
        <v>0</v>
      </c>
    </row>
    <row r="189" spans="1:189" s="254" customFormat="1" x14ac:dyDescent="0.25">
      <c r="A189" s="267" t="s">
        <v>108</v>
      </c>
      <c r="B189" s="260">
        <f t="shared" si="111"/>
        <v>12000</v>
      </c>
      <c r="C189" s="260">
        <f t="shared" si="111"/>
        <v>12000</v>
      </c>
      <c r="D189" s="260">
        <f t="shared" si="111"/>
        <v>0</v>
      </c>
      <c r="E189" s="260"/>
      <c r="F189" s="260"/>
      <c r="G189" s="260">
        <f t="shared" si="97"/>
        <v>0</v>
      </c>
      <c r="H189" s="260"/>
      <c r="I189" s="260"/>
      <c r="J189" s="260">
        <f t="shared" si="133"/>
        <v>0</v>
      </c>
      <c r="K189" s="260">
        <v>12000</v>
      </c>
      <c r="L189" s="260">
        <v>12000</v>
      </c>
      <c r="M189" s="260">
        <f t="shared" si="134"/>
        <v>0</v>
      </c>
      <c r="N189" s="260"/>
      <c r="O189" s="260"/>
      <c r="P189" s="260">
        <f t="shared" si="135"/>
        <v>0</v>
      </c>
      <c r="Q189" s="260"/>
      <c r="R189" s="260"/>
      <c r="S189" s="260">
        <f t="shared" si="136"/>
        <v>0</v>
      </c>
      <c r="T189" s="260"/>
      <c r="U189" s="260"/>
      <c r="V189" s="260">
        <f t="shared" si="137"/>
        <v>0</v>
      </c>
      <c r="W189" s="260"/>
      <c r="X189" s="260"/>
      <c r="Y189" s="260">
        <f t="shared" si="138"/>
        <v>0</v>
      </c>
      <c r="Z189" s="260"/>
      <c r="AA189" s="260"/>
      <c r="AB189" s="260">
        <f t="shared" si="139"/>
        <v>0</v>
      </c>
    </row>
    <row r="190" spans="1:189" s="254" customFormat="1" x14ac:dyDescent="0.25">
      <c r="A190" s="267" t="s">
        <v>475</v>
      </c>
      <c r="B190" s="260">
        <f t="shared" si="111"/>
        <v>2029</v>
      </c>
      <c r="C190" s="260">
        <f t="shared" si="111"/>
        <v>2029</v>
      </c>
      <c r="D190" s="260">
        <f t="shared" si="111"/>
        <v>0</v>
      </c>
      <c r="E190" s="260"/>
      <c r="F190" s="260"/>
      <c r="G190" s="260">
        <f t="shared" si="97"/>
        <v>0</v>
      </c>
      <c r="H190" s="260"/>
      <c r="I190" s="260"/>
      <c r="J190" s="260">
        <f t="shared" si="133"/>
        <v>0</v>
      </c>
      <c r="K190" s="260">
        <v>2029</v>
      </c>
      <c r="L190" s="260">
        <v>2029</v>
      </c>
      <c r="M190" s="260">
        <f t="shared" si="134"/>
        <v>0</v>
      </c>
      <c r="N190" s="260"/>
      <c r="O190" s="260"/>
      <c r="P190" s="260">
        <f t="shared" si="135"/>
        <v>0</v>
      </c>
      <c r="Q190" s="260"/>
      <c r="R190" s="260"/>
      <c r="S190" s="260">
        <f t="shared" si="136"/>
        <v>0</v>
      </c>
      <c r="T190" s="260"/>
      <c r="U190" s="260"/>
      <c r="V190" s="260">
        <f t="shared" si="137"/>
        <v>0</v>
      </c>
      <c r="W190" s="260"/>
      <c r="X190" s="260"/>
      <c r="Y190" s="260">
        <f t="shared" si="138"/>
        <v>0</v>
      </c>
      <c r="Z190" s="260"/>
      <c r="AA190" s="260"/>
      <c r="AB190" s="260">
        <f t="shared" si="139"/>
        <v>0</v>
      </c>
    </row>
    <row r="191" spans="1:189" s="254" customFormat="1" ht="31.5" x14ac:dyDescent="0.25">
      <c r="A191" s="267" t="s">
        <v>109</v>
      </c>
      <c r="B191" s="260">
        <f t="shared" si="111"/>
        <v>30000</v>
      </c>
      <c r="C191" s="260">
        <f t="shared" si="111"/>
        <v>30000</v>
      </c>
      <c r="D191" s="260">
        <f t="shared" si="111"/>
        <v>0</v>
      </c>
      <c r="E191" s="260"/>
      <c r="F191" s="260"/>
      <c r="G191" s="260">
        <f t="shared" si="97"/>
        <v>0</v>
      </c>
      <c r="H191" s="260"/>
      <c r="I191" s="260"/>
      <c r="J191" s="260">
        <f t="shared" si="133"/>
        <v>0</v>
      </c>
      <c r="K191" s="260">
        <f>20000+10000</f>
        <v>30000</v>
      </c>
      <c r="L191" s="260">
        <f>20000+10000</f>
        <v>30000</v>
      </c>
      <c r="M191" s="260">
        <f t="shared" si="134"/>
        <v>0</v>
      </c>
      <c r="N191" s="260"/>
      <c r="O191" s="260"/>
      <c r="P191" s="260">
        <f t="shared" si="135"/>
        <v>0</v>
      </c>
      <c r="Q191" s="260"/>
      <c r="R191" s="260"/>
      <c r="S191" s="260">
        <f t="shared" si="136"/>
        <v>0</v>
      </c>
      <c r="T191" s="260"/>
      <c r="U191" s="260"/>
      <c r="V191" s="260">
        <f t="shared" si="137"/>
        <v>0</v>
      </c>
      <c r="W191" s="260"/>
      <c r="X191" s="260"/>
      <c r="Y191" s="260">
        <f t="shared" si="138"/>
        <v>0</v>
      </c>
      <c r="Z191" s="260"/>
      <c r="AA191" s="260"/>
      <c r="AB191" s="260">
        <f t="shared" si="139"/>
        <v>0</v>
      </c>
    </row>
    <row r="192" spans="1:189" s="254" customFormat="1" x14ac:dyDescent="0.25">
      <c r="A192" s="252" t="s">
        <v>110</v>
      </c>
      <c r="B192" s="253">
        <f t="shared" si="111"/>
        <v>26340</v>
      </c>
      <c r="C192" s="253">
        <f t="shared" si="111"/>
        <v>26340</v>
      </c>
      <c r="D192" s="253">
        <f t="shared" si="111"/>
        <v>0</v>
      </c>
      <c r="E192" s="253">
        <f>SUM(E193)</f>
        <v>0</v>
      </c>
      <c r="F192" s="253">
        <f>SUM(F193)</f>
        <v>0</v>
      </c>
      <c r="G192" s="253">
        <f t="shared" si="97"/>
        <v>0</v>
      </c>
      <c r="H192" s="253">
        <f t="shared" ref="H192:I192" si="205">SUM(H193)</f>
        <v>0</v>
      </c>
      <c r="I192" s="253">
        <f t="shared" si="205"/>
        <v>0</v>
      </c>
      <c r="J192" s="253">
        <f t="shared" si="133"/>
        <v>0</v>
      </c>
      <c r="K192" s="253">
        <f t="shared" ref="K192:L192" si="206">SUM(K193)</f>
        <v>0</v>
      </c>
      <c r="L192" s="253">
        <f t="shared" si="206"/>
        <v>0</v>
      </c>
      <c r="M192" s="253">
        <f t="shared" si="134"/>
        <v>0</v>
      </c>
      <c r="N192" s="253">
        <f t="shared" ref="N192:O192" si="207">SUM(N193)</f>
        <v>0</v>
      </c>
      <c r="O192" s="253">
        <f t="shared" si="207"/>
        <v>0</v>
      </c>
      <c r="P192" s="253">
        <f t="shared" si="135"/>
        <v>0</v>
      </c>
      <c r="Q192" s="253">
        <f t="shared" ref="Q192:R192" si="208">SUM(Q193)</f>
        <v>0</v>
      </c>
      <c r="R192" s="253">
        <f t="shared" si="208"/>
        <v>0</v>
      </c>
      <c r="S192" s="253">
        <f t="shared" si="136"/>
        <v>0</v>
      </c>
      <c r="T192" s="253">
        <f t="shared" ref="T192:U192" si="209">SUM(T193)</f>
        <v>0</v>
      </c>
      <c r="U192" s="253">
        <f t="shared" si="209"/>
        <v>0</v>
      </c>
      <c r="V192" s="253">
        <f t="shared" si="137"/>
        <v>0</v>
      </c>
      <c r="W192" s="253">
        <f t="shared" ref="W192:X192" si="210">SUM(W193)</f>
        <v>0</v>
      </c>
      <c r="X192" s="253">
        <f t="shared" si="210"/>
        <v>0</v>
      </c>
      <c r="Y192" s="253">
        <f t="shared" si="138"/>
        <v>0</v>
      </c>
      <c r="Z192" s="253">
        <f t="shared" ref="Z192:AA192" si="211">SUM(Z193)</f>
        <v>26340</v>
      </c>
      <c r="AA192" s="253">
        <f t="shared" si="211"/>
        <v>26340</v>
      </c>
      <c r="AB192" s="253">
        <f t="shared" si="139"/>
        <v>0</v>
      </c>
    </row>
    <row r="193" spans="1:189" s="254" customFormat="1" ht="31.5" x14ac:dyDescent="0.25">
      <c r="A193" s="259" t="s">
        <v>111</v>
      </c>
      <c r="B193" s="260">
        <f t="shared" si="111"/>
        <v>26340</v>
      </c>
      <c r="C193" s="260">
        <f t="shared" si="111"/>
        <v>26340</v>
      </c>
      <c r="D193" s="260">
        <f t="shared" si="111"/>
        <v>0</v>
      </c>
      <c r="E193" s="260"/>
      <c r="F193" s="260"/>
      <c r="G193" s="260">
        <f t="shared" si="97"/>
        <v>0</v>
      </c>
      <c r="H193" s="260"/>
      <c r="I193" s="260"/>
      <c r="J193" s="260">
        <f t="shared" si="133"/>
        <v>0</v>
      </c>
      <c r="K193" s="260"/>
      <c r="L193" s="260"/>
      <c r="M193" s="260">
        <f t="shared" si="134"/>
        <v>0</v>
      </c>
      <c r="N193" s="260"/>
      <c r="O193" s="260"/>
      <c r="P193" s="260">
        <f t="shared" si="135"/>
        <v>0</v>
      </c>
      <c r="Q193" s="260"/>
      <c r="R193" s="260"/>
      <c r="S193" s="260">
        <f t="shared" si="136"/>
        <v>0</v>
      </c>
      <c r="T193" s="260"/>
      <c r="U193" s="260"/>
      <c r="V193" s="260">
        <f t="shared" si="137"/>
        <v>0</v>
      </c>
      <c r="W193" s="260"/>
      <c r="X193" s="260"/>
      <c r="Y193" s="260">
        <f t="shared" si="138"/>
        <v>0</v>
      </c>
      <c r="Z193" s="260">
        <v>26340</v>
      </c>
      <c r="AA193" s="260">
        <v>26340</v>
      </c>
      <c r="AB193" s="260">
        <f t="shared" si="139"/>
        <v>0</v>
      </c>
    </row>
    <row r="194" spans="1:189" s="254" customFormat="1" x14ac:dyDescent="0.25">
      <c r="A194" s="252" t="s">
        <v>123</v>
      </c>
      <c r="B194" s="253">
        <f t="shared" si="111"/>
        <v>8364</v>
      </c>
      <c r="C194" s="253">
        <f t="shared" si="111"/>
        <v>12504</v>
      </c>
      <c r="D194" s="253">
        <f>G194+J194+M194+P194+S194+V194+AB194+Y194</f>
        <v>4140</v>
      </c>
      <c r="E194" s="253">
        <f>SUM(E195:E196)</f>
        <v>0</v>
      </c>
      <c r="F194" s="253">
        <f>SUM(F195:F196)</f>
        <v>0</v>
      </c>
      <c r="G194" s="253">
        <f t="shared" si="97"/>
        <v>0</v>
      </c>
      <c r="H194" s="253">
        <f t="shared" ref="H194:I194" si="212">SUM(H195:H196)</f>
        <v>0</v>
      </c>
      <c r="I194" s="253">
        <f t="shared" si="212"/>
        <v>0</v>
      </c>
      <c r="J194" s="253">
        <f t="shared" si="133"/>
        <v>0</v>
      </c>
      <c r="K194" s="253">
        <f t="shared" ref="K194:L194" si="213">SUM(K195:K196)</f>
        <v>8364</v>
      </c>
      <c r="L194" s="253">
        <f t="shared" si="213"/>
        <v>12504</v>
      </c>
      <c r="M194" s="253">
        <f t="shared" si="134"/>
        <v>4140</v>
      </c>
      <c r="N194" s="253">
        <f t="shared" ref="N194:O194" si="214">SUM(N195:N196)</f>
        <v>0</v>
      </c>
      <c r="O194" s="253">
        <f t="shared" si="214"/>
        <v>0</v>
      </c>
      <c r="P194" s="253">
        <f t="shared" si="135"/>
        <v>0</v>
      </c>
      <c r="Q194" s="253">
        <f t="shared" ref="Q194:R194" si="215">SUM(Q195:Q196)</f>
        <v>0</v>
      </c>
      <c r="R194" s="253">
        <f t="shared" si="215"/>
        <v>0</v>
      </c>
      <c r="S194" s="253">
        <f t="shared" si="136"/>
        <v>0</v>
      </c>
      <c r="T194" s="253">
        <f t="shared" ref="T194:U194" si="216">SUM(T195:T196)</f>
        <v>0</v>
      </c>
      <c r="U194" s="253">
        <f t="shared" si="216"/>
        <v>0</v>
      </c>
      <c r="V194" s="253">
        <f t="shared" si="137"/>
        <v>0</v>
      </c>
      <c r="W194" s="253">
        <f t="shared" ref="W194:X194" si="217">SUM(W195:W196)</f>
        <v>0</v>
      </c>
      <c r="X194" s="253">
        <f t="shared" si="217"/>
        <v>0</v>
      </c>
      <c r="Y194" s="253">
        <f t="shared" si="138"/>
        <v>0</v>
      </c>
      <c r="Z194" s="253">
        <f t="shared" ref="Z194:AA194" si="218">SUM(Z195:Z196)</f>
        <v>0</v>
      </c>
      <c r="AA194" s="253">
        <f t="shared" si="218"/>
        <v>0</v>
      </c>
      <c r="AB194" s="253">
        <f t="shared" si="139"/>
        <v>0</v>
      </c>
      <c r="AC194" s="251"/>
      <c r="AD194" s="251"/>
      <c r="AE194" s="251"/>
      <c r="AF194" s="251"/>
      <c r="AG194" s="251"/>
      <c r="AH194" s="251"/>
      <c r="AI194" s="251"/>
      <c r="AJ194" s="251"/>
      <c r="AK194" s="251"/>
      <c r="AL194" s="251"/>
      <c r="AM194" s="251"/>
      <c r="AN194" s="251"/>
      <c r="AO194" s="251"/>
      <c r="AP194" s="251"/>
      <c r="AQ194" s="251"/>
      <c r="AR194" s="251"/>
      <c r="AS194" s="251"/>
      <c r="AT194" s="251"/>
      <c r="AU194" s="251"/>
      <c r="AV194" s="251"/>
      <c r="AW194" s="251"/>
      <c r="AX194" s="251"/>
      <c r="AY194" s="251"/>
      <c r="AZ194" s="251"/>
      <c r="BA194" s="251"/>
      <c r="BB194" s="251"/>
      <c r="BC194" s="251"/>
      <c r="BD194" s="251"/>
      <c r="BE194" s="251"/>
      <c r="BF194" s="251"/>
      <c r="BG194" s="251"/>
      <c r="BH194" s="251"/>
      <c r="BI194" s="251"/>
      <c r="BJ194" s="251"/>
      <c r="BK194" s="251"/>
      <c r="BL194" s="251"/>
      <c r="BM194" s="251"/>
      <c r="BN194" s="251"/>
      <c r="BO194" s="251"/>
      <c r="BP194" s="251"/>
      <c r="BQ194" s="251"/>
      <c r="BR194" s="251"/>
      <c r="BS194" s="251"/>
      <c r="BT194" s="251"/>
      <c r="BU194" s="251"/>
      <c r="BV194" s="251"/>
      <c r="BW194" s="251"/>
      <c r="BX194" s="251"/>
      <c r="BY194" s="251"/>
      <c r="BZ194" s="251"/>
      <c r="CA194" s="251"/>
      <c r="CB194" s="251"/>
      <c r="CC194" s="251"/>
      <c r="CD194" s="251"/>
      <c r="CE194" s="251"/>
      <c r="CF194" s="251"/>
      <c r="CG194" s="251"/>
      <c r="CH194" s="251"/>
      <c r="CI194" s="251"/>
      <c r="CJ194" s="251"/>
      <c r="CK194" s="251"/>
      <c r="CL194" s="251"/>
      <c r="CM194" s="251"/>
      <c r="CN194" s="251"/>
      <c r="CO194" s="251"/>
      <c r="CP194" s="251"/>
      <c r="CQ194" s="251"/>
      <c r="CR194" s="251"/>
      <c r="CS194" s="251"/>
      <c r="CT194" s="251"/>
      <c r="CU194" s="251"/>
      <c r="CV194" s="251"/>
      <c r="CW194" s="251"/>
      <c r="CX194" s="251"/>
      <c r="CY194" s="251"/>
      <c r="CZ194" s="251"/>
      <c r="DA194" s="251"/>
      <c r="DB194" s="251"/>
      <c r="DC194" s="251"/>
      <c r="DD194" s="251"/>
      <c r="DE194" s="251"/>
      <c r="DF194" s="251"/>
      <c r="DG194" s="251"/>
      <c r="DH194" s="251"/>
      <c r="DI194" s="251"/>
      <c r="DJ194" s="251"/>
      <c r="DK194" s="251"/>
      <c r="DL194" s="251"/>
      <c r="DM194" s="251"/>
      <c r="DN194" s="251"/>
      <c r="DO194" s="251"/>
      <c r="DP194" s="251"/>
      <c r="DQ194" s="251"/>
      <c r="DR194" s="251"/>
      <c r="DS194" s="251"/>
      <c r="DT194" s="251"/>
      <c r="DU194" s="251"/>
      <c r="DV194" s="251"/>
      <c r="DW194" s="251"/>
      <c r="DX194" s="251"/>
      <c r="DY194" s="251"/>
      <c r="DZ194" s="251"/>
      <c r="EA194" s="251"/>
      <c r="EB194" s="251"/>
      <c r="EC194" s="251"/>
      <c r="ED194" s="251"/>
      <c r="EE194" s="251"/>
      <c r="EF194" s="251"/>
      <c r="EG194" s="251"/>
      <c r="EH194" s="251"/>
      <c r="EI194" s="251"/>
      <c r="EJ194" s="251"/>
      <c r="EK194" s="251"/>
      <c r="EL194" s="251"/>
      <c r="EM194" s="251"/>
      <c r="EN194" s="251"/>
      <c r="EO194" s="251"/>
      <c r="EP194" s="251"/>
      <c r="EQ194" s="251"/>
      <c r="ER194" s="251"/>
      <c r="ES194" s="251"/>
      <c r="ET194" s="251"/>
      <c r="EU194" s="251"/>
      <c r="EV194" s="251"/>
      <c r="EW194" s="251"/>
      <c r="EX194" s="251"/>
      <c r="EY194" s="251"/>
      <c r="EZ194" s="251"/>
      <c r="FA194" s="251"/>
      <c r="FB194" s="251"/>
      <c r="FC194" s="251"/>
      <c r="FD194" s="251"/>
      <c r="FE194" s="251"/>
      <c r="FF194" s="251"/>
      <c r="FG194" s="251"/>
      <c r="FH194" s="251"/>
      <c r="FI194" s="251"/>
      <c r="FJ194" s="251"/>
      <c r="FK194" s="251"/>
      <c r="FL194" s="251"/>
      <c r="FM194" s="251"/>
      <c r="FN194" s="251"/>
      <c r="FO194" s="251"/>
      <c r="FP194" s="251"/>
      <c r="FQ194" s="251"/>
      <c r="FR194" s="251"/>
      <c r="FS194" s="251"/>
      <c r="FT194" s="251"/>
      <c r="FU194" s="251"/>
      <c r="FV194" s="251"/>
      <c r="FW194" s="251"/>
      <c r="FX194" s="251"/>
      <c r="FY194" s="251"/>
      <c r="FZ194" s="251"/>
      <c r="GA194" s="251"/>
      <c r="GB194" s="251"/>
      <c r="GC194" s="251"/>
      <c r="GD194" s="251"/>
      <c r="GE194" s="251"/>
      <c r="GF194" s="251"/>
      <c r="GG194" s="251"/>
    </row>
    <row r="195" spans="1:189" s="254" customFormat="1" ht="31.5" x14ac:dyDescent="0.25">
      <c r="A195" s="259" t="s">
        <v>547</v>
      </c>
      <c r="B195" s="260">
        <f t="shared" ref="B195" si="219">E195+H195+K195+N195+Q195+T195+Z195+W195</f>
        <v>0</v>
      </c>
      <c r="C195" s="260">
        <f t="shared" ref="C195" si="220">F195+I195+L195+O195+R195+U195+AA195+X195</f>
        <v>4140</v>
      </c>
      <c r="D195" s="260">
        <f>G195+J195+M195+P195+S195+V195+AB195+Y195</f>
        <v>4140</v>
      </c>
      <c r="E195" s="260"/>
      <c r="F195" s="260"/>
      <c r="G195" s="260">
        <f t="shared" ref="G195" si="221">F195-E195</f>
        <v>0</v>
      </c>
      <c r="H195" s="260"/>
      <c r="I195" s="260"/>
      <c r="J195" s="260">
        <f t="shared" ref="J195" si="222">I195-H195</f>
        <v>0</v>
      </c>
      <c r="K195" s="260"/>
      <c r="L195" s="260">
        <v>4140</v>
      </c>
      <c r="M195" s="260">
        <f t="shared" ref="M195" si="223">L195-K195</f>
        <v>4140</v>
      </c>
      <c r="N195" s="260"/>
      <c r="O195" s="260"/>
      <c r="P195" s="260">
        <f t="shared" ref="P195" si="224">O195-N195</f>
        <v>0</v>
      </c>
      <c r="Q195" s="260"/>
      <c r="R195" s="260"/>
      <c r="S195" s="260">
        <f t="shared" ref="S195" si="225">R195-Q195</f>
        <v>0</v>
      </c>
      <c r="T195" s="260"/>
      <c r="U195" s="260"/>
      <c r="V195" s="260">
        <f t="shared" ref="V195" si="226">U195-T195</f>
        <v>0</v>
      </c>
      <c r="W195" s="260"/>
      <c r="X195" s="260"/>
      <c r="Y195" s="260">
        <f t="shared" ref="Y195" si="227">X195-W195</f>
        <v>0</v>
      </c>
      <c r="Z195" s="260"/>
      <c r="AA195" s="260"/>
      <c r="AB195" s="260">
        <f t="shared" ref="AB195" si="228">AA195-Z195</f>
        <v>0</v>
      </c>
    </row>
    <row r="196" spans="1:189" s="254" customFormat="1" x14ac:dyDescent="0.25">
      <c r="A196" s="259" t="s">
        <v>450</v>
      </c>
      <c r="B196" s="260">
        <f t="shared" si="111"/>
        <v>8364</v>
      </c>
      <c r="C196" s="260">
        <f t="shared" si="111"/>
        <v>8364</v>
      </c>
      <c r="D196" s="260">
        <f>G196+J196+M196+P196+S196+V196+AB196+Y196</f>
        <v>0</v>
      </c>
      <c r="E196" s="260"/>
      <c r="F196" s="260"/>
      <c r="G196" s="260">
        <f t="shared" si="97"/>
        <v>0</v>
      </c>
      <c r="H196" s="260"/>
      <c r="I196" s="260"/>
      <c r="J196" s="260">
        <f t="shared" si="133"/>
        <v>0</v>
      </c>
      <c r="K196" s="260">
        <v>8364</v>
      </c>
      <c r="L196" s="260">
        <v>8364</v>
      </c>
      <c r="M196" s="260">
        <f t="shared" si="134"/>
        <v>0</v>
      </c>
      <c r="N196" s="260"/>
      <c r="O196" s="260"/>
      <c r="P196" s="260">
        <f t="shared" si="135"/>
        <v>0</v>
      </c>
      <c r="Q196" s="260"/>
      <c r="R196" s="260"/>
      <c r="S196" s="260">
        <f t="shared" si="136"/>
        <v>0</v>
      </c>
      <c r="T196" s="260"/>
      <c r="U196" s="260"/>
      <c r="V196" s="260">
        <f t="shared" si="137"/>
        <v>0</v>
      </c>
      <c r="W196" s="260"/>
      <c r="X196" s="260"/>
      <c r="Y196" s="260">
        <f t="shared" si="138"/>
        <v>0</v>
      </c>
      <c r="Z196" s="260"/>
      <c r="AA196" s="260"/>
      <c r="AB196" s="260">
        <f t="shared" si="139"/>
        <v>0</v>
      </c>
    </row>
    <row r="197" spans="1:189" s="254" customFormat="1" x14ac:dyDescent="0.25">
      <c r="A197" s="258" t="s">
        <v>18</v>
      </c>
      <c r="B197" s="255">
        <f t="shared" si="111"/>
        <v>357726</v>
      </c>
      <c r="C197" s="255">
        <f t="shared" si="111"/>
        <v>357726</v>
      </c>
      <c r="D197" s="255">
        <f t="shared" si="111"/>
        <v>0</v>
      </c>
      <c r="E197" s="255">
        <f>SUM(E198,E203)</f>
        <v>48476</v>
      </c>
      <c r="F197" s="255">
        <f>SUM(F198,F203)</f>
        <v>48476</v>
      </c>
      <c r="G197" s="255">
        <f t="shared" si="97"/>
        <v>0</v>
      </c>
      <c r="H197" s="255">
        <f t="shared" ref="H197" si="229">SUM(H198,H203)</f>
        <v>10905</v>
      </c>
      <c r="I197" s="255">
        <f t="shared" ref="I197" si="230">SUM(I198,I203)</f>
        <v>10905</v>
      </c>
      <c r="J197" s="255">
        <f t="shared" si="133"/>
        <v>0</v>
      </c>
      <c r="K197" s="255">
        <f t="shared" ref="K197" si="231">SUM(K198,K203)</f>
        <v>19744</v>
      </c>
      <c r="L197" s="255">
        <f t="shared" ref="L197" si="232">SUM(L198,L203)</f>
        <v>19744</v>
      </c>
      <c r="M197" s="255">
        <f t="shared" si="134"/>
        <v>0</v>
      </c>
      <c r="N197" s="255">
        <f t="shared" ref="N197" si="233">SUM(N198,N203)</f>
        <v>0</v>
      </c>
      <c r="O197" s="255">
        <f t="shared" ref="O197" si="234">SUM(O198,O203)</f>
        <v>0</v>
      </c>
      <c r="P197" s="255">
        <f t="shared" si="135"/>
        <v>0</v>
      </c>
      <c r="Q197" s="255">
        <f t="shared" ref="Q197" si="235">SUM(Q198,Q203)</f>
        <v>10000</v>
      </c>
      <c r="R197" s="255">
        <f t="shared" ref="R197" si="236">SUM(R198,R203)</f>
        <v>10000</v>
      </c>
      <c r="S197" s="255">
        <f t="shared" si="136"/>
        <v>0</v>
      </c>
      <c r="T197" s="255">
        <f t="shared" ref="T197" si="237">SUM(T198,T203)</f>
        <v>268601</v>
      </c>
      <c r="U197" s="255">
        <f t="shared" ref="U197" si="238">SUM(U198,U203)</f>
        <v>268601</v>
      </c>
      <c r="V197" s="255">
        <f t="shared" si="137"/>
        <v>0</v>
      </c>
      <c r="W197" s="255">
        <f t="shared" ref="W197:X197" si="239">SUM(W198,W203)</f>
        <v>0</v>
      </c>
      <c r="X197" s="255">
        <f t="shared" si="239"/>
        <v>0</v>
      </c>
      <c r="Y197" s="255">
        <f t="shared" si="138"/>
        <v>0</v>
      </c>
      <c r="Z197" s="255">
        <f t="shared" ref="Z197" si="240">SUM(Z198,Z203)</f>
        <v>0</v>
      </c>
      <c r="AA197" s="255">
        <f t="shared" ref="AA197" si="241">SUM(AA198,AA203)</f>
        <v>0</v>
      </c>
      <c r="AB197" s="255">
        <f t="shared" si="139"/>
        <v>0</v>
      </c>
      <c r="AC197" s="251"/>
      <c r="AD197" s="251"/>
      <c r="AE197" s="251"/>
      <c r="AF197" s="251"/>
      <c r="AG197" s="251"/>
      <c r="AH197" s="251"/>
      <c r="AI197" s="251"/>
      <c r="AJ197" s="251"/>
      <c r="AK197" s="251"/>
      <c r="AL197" s="251"/>
      <c r="AM197" s="251"/>
      <c r="AN197" s="251"/>
      <c r="AO197" s="251"/>
      <c r="AP197" s="251"/>
      <c r="AQ197" s="251"/>
      <c r="AR197" s="251"/>
      <c r="AS197" s="251"/>
      <c r="AT197" s="251"/>
      <c r="AU197" s="251"/>
      <c r="AV197" s="251"/>
      <c r="AW197" s="251"/>
      <c r="AX197" s="251"/>
      <c r="AY197" s="251"/>
      <c r="AZ197" s="251"/>
      <c r="BA197" s="251"/>
      <c r="BB197" s="251"/>
      <c r="BC197" s="251"/>
      <c r="BD197" s="251"/>
      <c r="BE197" s="251"/>
      <c r="BF197" s="251"/>
      <c r="BG197" s="251"/>
      <c r="BH197" s="251"/>
      <c r="BI197" s="251"/>
      <c r="BJ197" s="251"/>
      <c r="BK197" s="251"/>
      <c r="BL197" s="251"/>
      <c r="BM197" s="251"/>
      <c r="BN197" s="251"/>
      <c r="BO197" s="251"/>
      <c r="BP197" s="251"/>
      <c r="BQ197" s="251"/>
      <c r="BR197" s="251"/>
      <c r="BS197" s="251"/>
      <c r="BT197" s="251"/>
      <c r="BU197" s="251"/>
      <c r="BV197" s="251"/>
      <c r="BW197" s="251"/>
      <c r="BX197" s="251"/>
      <c r="BY197" s="251"/>
      <c r="BZ197" s="251"/>
      <c r="CA197" s="251"/>
      <c r="CB197" s="251"/>
      <c r="CC197" s="251"/>
      <c r="CD197" s="251"/>
      <c r="CE197" s="251"/>
      <c r="CF197" s="251"/>
      <c r="CG197" s="251"/>
      <c r="CH197" s="251"/>
      <c r="CI197" s="251"/>
      <c r="CJ197" s="251"/>
      <c r="CK197" s="251"/>
      <c r="CL197" s="251"/>
      <c r="CM197" s="251"/>
      <c r="CN197" s="251"/>
      <c r="CO197" s="251"/>
      <c r="CP197" s="251"/>
      <c r="CQ197" s="251"/>
      <c r="CR197" s="251"/>
      <c r="CS197" s="251"/>
      <c r="CT197" s="251"/>
      <c r="CU197" s="251"/>
      <c r="CV197" s="251"/>
      <c r="CW197" s="251"/>
      <c r="CX197" s="251"/>
      <c r="CY197" s="251"/>
      <c r="CZ197" s="251"/>
      <c r="DA197" s="251"/>
      <c r="DB197" s="251"/>
      <c r="DC197" s="251"/>
      <c r="DD197" s="251"/>
      <c r="DE197" s="251"/>
      <c r="DF197" s="251"/>
      <c r="DG197" s="251"/>
      <c r="DH197" s="251"/>
      <c r="DI197" s="251"/>
      <c r="DJ197" s="251"/>
      <c r="DK197" s="251"/>
      <c r="DL197" s="251"/>
      <c r="DM197" s="251"/>
      <c r="DN197" s="251"/>
      <c r="DO197" s="251"/>
      <c r="DP197" s="251"/>
      <c r="DQ197" s="251"/>
      <c r="DR197" s="251"/>
      <c r="DS197" s="251"/>
      <c r="DT197" s="251"/>
      <c r="DU197" s="251"/>
      <c r="DV197" s="251"/>
      <c r="DW197" s="251"/>
      <c r="DX197" s="251"/>
      <c r="DY197" s="251"/>
      <c r="DZ197" s="251"/>
      <c r="EA197" s="251"/>
      <c r="EB197" s="251"/>
      <c r="EC197" s="251"/>
      <c r="ED197" s="251"/>
      <c r="EE197" s="251"/>
      <c r="EF197" s="251"/>
      <c r="EG197" s="251"/>
      <c r="EH197" s="251"/>
      <c r="EI197" s="251"/>
      <c r="EJ197" s="251"/>
      <c r="EK197" s="251"/>
      <c r="EL197" s="251"/>
      <c r="EM197" s="251"/>
      <c r="EN197" s="251"/>
      <c r="EO197" s="251"/>
      <c r="EP197" s="251"/>
      <c r="EQ197" s="251"/>
      <c r="ER197" s="251"/>
      <c r="ES197" s="251"/>
      <c r="ET197" s="251"/>
      <c r="EU197" s="251"/>
      <c r="EV197" s="251"/>
      <c r="EW197" s="251"/>
      <c r="EX197" s="251"/>
      <c r="EY197" s="251"/>
      <c r="EZ197" s="251"/>
      <c r="FA197" s="251"/>
      <c r="FB197" s="251"/>
      <c r="FC197" s="251"/>
      <c r="FD197" s="251"/>
      <c r="FE197" s="251"/>
      <c r="FF197" s="251"/>
      <c r="FG197" s="251"/>
      <c r="FH197" s="251"/>
      <c r="FI197" s="251"/>
      <c r="FJ197" s="251"/>
      <c r="FK197" s="251"/>
      <c r="FL197" s="251"/>
      <c r="FM197" s="251"/>
      <c r="FN197" s="251"/>
      <c r="FO197" s="251"/>
      <c r="FP197" s="251"/>
      <c r="FQ197" s="251"/>
      <c r="FR197" s="251"/>
      <c r="FS197" s="251"/>
      <c r="FT197" s="251"/>
      <c r="FU197" s="251"/>
      <c r="FV197" s="251"/>
      <c r="FW197" s="251"/>
      <c r="FX197" s="251"/>
      <c r="FY197" s="251"/>
      <c r="FZ197" s="251"/>
      <c r="GA197" s="251"/>
      <c r="GB197" s="251"/>
      <c r="GC197" s="251"/>
      <c r="GD197" s="251"/>
      <c r="GE197" s="251"/>
      <c r="GF197" s="251"/>
      <c r="GG197" s="251"/>
    </row>
    <row r="198" spans="1:189" s="254" customFormat="1" ht="31.5" x14ac:dyDescent="0.25">
      <c r="A198" s="252" t="s">
        <v>107</v>
      </c>
      <c r="B198" s="255">
        <f t="shared" si="111"/>
        <v>20905</v>
      </c>
      <c r="C198" s="255">
        <f t="shared" si="111"/>
        <v>20905</v>
      </c>
      <c r="D198" s="255">
        <f t="shared" si="111"/>
        <v>0</v>
      </c>
      <c r="E198" s="255">
        <f>SUM(E199:E202)</f>
        <v>0</v>
      </c>
      <c r="F198" s="255">
        <f>SUM(F199:F202)</f>
        <v>0</v>
      </c>
      <c r="G198" s="255">
        <f t="shared" si="97"/>
        <v>0</v>
      </c>
      <c r="H198" s="255">
        <f t="shared" ref="H198" si="242">SUM(H199:H202)</f>
        <v>10905</v>
      </c>
      <c r="I198" s="255">
        <f t="shared" ref="I198" si="243">SUM(I199:I202)</f>
        <v>10905</v>
      </c>
      <c r="J198" s="255">
        <f t="shared" si="133"/>
        <v>0</v>
      </c>
      <c r="K198" s="255">
        <f t="shared" ref="K198" si="244">SUM(K199:K202)</f>
        <v>0</v>
      </c>
      <c r="L198" s="255">
        <f t="shared" ref="L198" si="245">SUM(L199:L202)</f>
        <v>0</v>
      </c>
      <c r="M198" s="255">
        <f t="shared" si="134"/>
        <v>0</v>
      </c>
      <c r="N198" s="255">
        <f t="shared" ref="N198" si="246">SUM(N199:N202)</f>
        <v>0</v>
      </c>
      <c r="O198" s="255">
        <f t="shared" ref="O198" si="247">SUM(O199:O202)</f>
        <v>0</v>
      </c>
      <c r="P198" s="255">
        <f t="shared" si="135"/>
        <v>0</v>
      </c>
      <c r="Q198" s="255">
        <f t="shared" ref="Q198" si="248">SUM(Q199:Q202)</f>
        <v>10000</v>
      </c>
      <c r="R198" s="255">
        <f t="shared" ref="R198" si="249">SUM(R199:R202)</f>
        <v>10000</v>
      </c>
      <c r="S198" s="255">
        <f t="shared" si="136"/>
        <v>0</v>
      </c>
      <c r="T198" s="255">
        <f t="shared" ref="T198" si="250">SUM(T199:T202)</f>
        <v>0</v>
      </c>
      <c r="U198" s="255">
        <f t="shared" ref="U198" si="251">SUM(U199:U202)</f>
        <v>0</v>
      </c>
      <c r="V198" s="255">
        <f t="shared" si="137"/>
        <v>0</v>
      </c>
      <c r="W198" s="255">
        <f t="shared" ref="W198:X198" si="252">SUM(W199:W202)</f>
        <v>0</v>
      </c>
      <c r="X198" s="255">
        <f t="shared" si="252"/>
        <v>0</v>
      </c>
      <c r="Y198" s="255">
        <f t="shared" si="138"/>
        <v>0</v>
      </c>
      <c r="Z198" s="255">
        <f t="shared" ref="Z198" si="253">SUM(Z199:Z202)</f>
        <v>0</v>
      </c>
      <c r="AA198" s="255">
        <f t="shared" ref="AA198" si="254">SUM(AA199:AA202)</f>
        <v>0</v>
      </c>
      <c r="AB198" s="255">
        <f t="shared" si="139"/>
        <v>0</v>
      </c>
    </row>
    <row r="199" spans="1:189" s="254" customFormat="1" x14ac:dyDescent="0.25">
      <c r="A199" s="267" t="s">
        <v>112</v>
      </c>
      <c r="B199" s="260">
        <f t="shared" si="111"/>
        <v>10000</v>
      </c>
      <c r="C199" s="260">
        <f t="shared" si="111"/>
        <v>10000</v>
      </c>
      <c r="D199" s="260">
        <f t="shared" si="111"/>
        <v>0</v>
      </c>
      <c r="E199" s="260"/>
      <c r="F199" s="260"/>
      <c r="G199" s="260">
        <f t="shared" si="97"/>
        <v>0</v>
      </c>
      <c r="H199" s="260"/>
      <c r="I199" s="260"/>
      <c r="J199" s="260">
        <f t="shared" si="133"/>
        <v>0</v>
      </c>
      <c r="K199" s="260"/>
      <c r="L199" s="260"/>
      <c r="M199" s="260">
        <f t="shared" si="134"/>
        <v>0</v>
      </c>
      <c r="N199" s="260"/>
      <c r="O199" s="260"/>
      <c r="P199" s="260">
        <f t="shared" si="135"/>
        <v>0</v>
      </c>
      <c r="Q199" s="260">
        <v>10000</v>
      </c>
      <c r="R199" s="260">
        <v>10000</v>
      </c>
      <c r="S199" s="260">
        <f t="shared" si="136"/>
        <v>0</v>
      </c>
      <c r="T199" s="260"/>
      <c r="U199" s="260"/>
      <c r="V199" s="260">
        <f t="shared" si="137"/>
        <v>0</v>
      </c>
      <c r="W199" s="260"/>
      <c r="X199" s="260"/>
      <c r="Y199" s="260">
        <f t="shared" si="138"/>
        <v>0</v>
      </c>
      <c r="Z199" s="260"/>
      <c r="AA199" s="260"/>
      <c r="AB199" s="260">
        <f t="shared" si="139"/>
        <v>0</v>
      </c>
    </row>
    <row r="200" spans="1:189" s="254" customFormat="1" ht="31.5" x14ac:dyDescent="0.25">
      <c r="A200" s="259" t="s">
        <v>448</v>
      </c>
      <c r="B200" s="260">
        <f t="shared" si="111"/>
        <v>4845</v>
      </c>
      <c r="C200" s="260">
        <f t="shared" si="111"/>
        <v>4845</v>
      </c>
      <c r="D200" s="260">
        <f t="shared" si="111"/>
        <v>0</v>
      </c>
      <c r="E200" s="260"/>
      <c r="F200" s="260"/>
      <c r="G200" s="260">
        <f t="shared" si="97"/>
        <v>0</v>
      </c>
      <c r="H200" s="260">
        <v>4845</v>
      </c>
      <c r="I200" s="260">
        <v>4845</v>
      </c>
      <c r="J200" s="260">
        <f t="shared" si="133"/>
        <v>0</v>
      </c>
      <c r="K200" s="260"/>
      <c r="L200" s="260"/>
      <c r="M200" s="260">
        <f t="shared" si="134"/>
        <v>0</v>
      </c>
      <c r="N200" s="260"/>
      <c r="O200" s="260"/>
      <c r="P200" s="260">
        <f t="shared" si="135"/>
        <v>0</v>
      </c>
      <c r="Q200" s="260"/>
      <c r="R200" s="260"/>
      <c r="S200" s="260">
        <f t="shared" si="136"/>
        <v>0</v>
      </c>
      <c r="T200" s="260"/>
      <c r="U200" s="260"/>
      <c r="V200" s="260">
        <f t="shared" si="137"/>
        <v>0</v>
      </c>
      <c r="W200" s="260"/>
      <c r="X200" s="260"/>
      <c r="Y200" s="260">
        <f t="shared" si="138"/>
        <v>0</v>
      </c>
      <c r="Z200" s="260">
        <v>0</v>
      </c>
      <c r="AA200" s="260">
        <v>0</v>
      </c>
      <c r="AB200" s="260">
        <f t="shared" si="139"/>
        <v>0</v>
      </c>
    </row>
    <row r="201" spans="1:189" s="254" customFormat="1" ht="31.5" x14ac:dyDescent="0.25">
      <c r="A201" s="259" t="s">
        <v>501</v>
      </c>
      <c r="B201" s="260">
        <f t="shared" si="111"/>
        <v>6060</v>
      </c>
      <c r="C201" s="260">
        <f t="shared" si="111"/>
        <v>6060</v>
      </c>
      <c r="D201" s="260">
        <f t="shared" si="111"/>
        <v>0</v>
      </c>
      <c r="E201" s="260"/>
      <c r="F201" s="260"/>
      <c r="G201" s="260">
        <f t="shared" si="97"/>
        <v>0</v>
      </c>
      <c r="H201" s="260">
        <v>6060</v>
      </c>
      <c r="I201" s="260">
        <v>6060</v>
      </c>
      <c r="J201" s="260">
        <f t="shared" si="133"/>
        <v>0</v>
      </c>
      <c r="K201" s="260"/>
      <c r="L201" s="260"/>
      <c r="M201" s="260">
        <f t="shared" si="134"/>
        <v>0</v>
      </c>
      <c r="N201" s="260"/>
      <c r="O201" s="260"/>
      <c r="P201" s="260">
        <f t="shared" si="135"/>
        <v>0</v>
      </c>
      <c r="Q201" s="260"/>
      <c r="R201" s="260"/>
      <c r="S201" s="260">
        <f t="shared" si="136"/>
        <v>0</v>
      </c>
      <c r="T201" s="260"/>
      <c r="U201" s="260"/>
      <c r="V201" s="260">
        <f t="shared" si="137"/>
        <v>0</v>
      </c>
      <c r="W201" s="260"/>
      <c r="X201" s="260"/>
      <c r="Y201" s="260">
        <f t="shared" si="138"/>
        <v>0</v>
      </c>
      <c r="Z201" s="260">
        <v>0</v>
      </c>
      <c r="AA201" s="260">
        <v>0</v>
      </c>
      <c r="AB201" s="260">
        <f t="shared" si="139"/>
        <v>0</v>
      </c>
    </row>
    <row r="202" spans="1:189" s="254" customFormat="1" ht="31.5" x14ac:dyDescent="0.25">
      <c r="A202" s="267" t="s">
        <v>236</v>
      </c>
      <c r="B202" s="260">
        <f t="shared" si="111"/>
        <v>0</v>
      </c>
      <c r="C202" s="260">
        <f t="shared" si="111"/>
        <v>0</v>
      </c>
      <c r="D202" s="260">
        <f t="shared" si="111"/>
        <v>0</v>
      </c>
      <c r="E202" s="260"/>
      <c r="F202" s="260"/>
      <c r="G202" s="260">
        <f t="shared" si="97"/>
        <v>0</v>
      </c>
      <c r="H202" s="260"/>
      <c r="I202" s="260"/>
      <c r="J202" s="260">
        <f t="shared" si="133"/>
        <v>0</v>
      </c>
      <c r="K202" s="260"/>
      <c r="L202" s="260"/>
      <c r="M202" s="260">
        <f t="shared" si="134"/>
        <v>0</v>
      </c>
      <c r="N202" s="260"/>
      <c r="O202" s="260"/>
      <c r="P202" s="260">
        <f t="shared" si="135"/>
        <v>0</v>
      </c>
      <c r="Q202" s="260">
        <f>1141-1141</f>
        <v>0</v>
      </c>
      <c r="R202" s="260">
        <f>1141-1141</f>
        <v>0</v>
      </c>
      <c r="S202" s="260">
        <f t="shared" si="136"/>
        <v>0</v>
      </c>
      <c r="T202" s="260"/>
      <c r="U202" s="260"/>
      <c r="V202" s="260">
        <f t="shared" si="137"/>
        <v>0</v>
      </c>
      <c r="W202" s="260"/>
      <c r="X202" s="260"/>
      <c r="Y202" s="260">
        <f t="shared" si="138"/>
        <v>0</v>
      </c>
      <c r="Z202" s="260"/>
      <c r="AA202" s="260"/>
      <c r="AB202" s="260">
        <f t="shared" si="139"/>
        <v>0</v>
      </c>
    </row>
    <row r="203" spans="1:189" s="254" customFormat="1" x14ac:dyDescent="0.25">
      <c r="A203" s="252" t="s">
        <v>113</v>
      </c>
      <c r="B203" s="253">
        <f t="shared" si="111"/>
        <v>336821</v>
      </c>
      <c r="C203" s="253">
        <f t="shared" si="111"/>
        <v>336821</v>
      </c>
      <c r="D203" s="253">
        <f t="shared" si="111"/>
        <v>0</v>
      </c>
      <c r="E203" s="253">
        <f t="shared" ref="E203" si="255">SUM(E204:E208)</f>
        <v>48476</v>
      </c>
      <c r="F203" s="253">
        <f t="shared" ref="F203:AA203" si="256">SUM(F204:F208)</f>
        <v>48476</v>
      </c>
      <c r="G203" s="253">
        <f t="shared" si="97"/>
        <v>0</v>
      </c>
      <c r="H203" s="253">
        <f t="shared" ref="H203" si="257">SUM(H204:H208)</f>
        <v>0</v>
      </c>
      <c r="I203" s="253">
        <f t="shared" si="256"/>
        <v>0</v>
      </c>
      <c r="J203" s="253">
        <f t="shared" si="133"/>
        <v>0</v>
      </c>
      <c r="K203" s="253">
        <f t="shared" ref="K203" si="258">SUM(K204:K208)</f>
        <v>19744</v>
      </c>
      <c r="L203" s="253">
        <f t="shared" si="256"/>
        <v>19744</v>
      </c>
      <c r="M203" s="253">
        <f t="shared" si="134"/>
        <v>0</v>
      </c>
      <c r="N203" s="253">
        <f t="shared" ref="N203" si="259">SUM(N204:N208)</f>
        <v>0</v>
      </c>
      <c r="O203" s="253">
        <f t="shared" si="256"/>
        <v>0</v>
      </c>
      <c r="P203" s="253">
        <f t="shared" si="135"/>
        <v>0</v>
      </c>
      <c r="Q203" s="253">
        <f t="shared" ref="Q203" si="260">SUM(Q204:Q208)</f>
        <v>0</v>
      </c>
      <c r="R203" s="253">
        <f t="shared" si="256"/>
        <v>0</v>
      </c>
      <c r="S203" s="253">
        <f t="shared" si="136"/>
        <v>0</v>
      </c>
      <c r="T203" s="253">
        <f t="shared" ref="T203" si="261">SUM(T204:T208)</f>
        <v>268601</v>
      </c>
      <c r="U203" s="253">
        <f t="shared" si="256"/>
        <v>268601</v>
      </c>
      <c r="V203" s="253">
        <f t="shared" si="137"/>
        <v>0</v>
      </c>
      <c r="W203" s="253">
        <f t="shared" ref="W203" si="262">SUM(W204:W208)</f>
        <v>0</v>
      </c>
      <c r="X203" s="253">
        <f t="shared" si="256"/>
        <v>0</v>
      </c>
      <c r="Y203" s="253">
        <f t="shared" si="138"/>
        <v>0</v>
      </c>
      <c r="Z203" s="253">
        <f t="shared" ref="Z203" si="263">SUM(Z204:Z208)</f>
        <v>0</v>
      </c>
      <c r="AA203" s="253">
        <f t="shared" si="256"/>
        <v>0</v>
      </c>
      <c r="AB203" s="253">
        <f t="shared" si="139"/>
        <v>0</v>
      </c>
      <c r="AC203" s="251"/>
      <c r="AD203" s="251"/>
      <c r="AE203" s="251"/>
      <c r="AF203" s="251"/>
      <c r="AG203" s="251"/>
      <c r="AH203" s="251"/>
      <c r="AI203" s="251"/>
      <c r="AJ203" s="251"/>
      <c r="AK203" s="251"/>
      <c r="AL203" s="251"/>
      <c r="AM203" s="251"/>
      <c r="AN203" s="251"/>
      <c r="AO203" s="251"/>
      <c r="AP203" s="251"/>
      <c r="AQ203" s="251"/>
      <c r="AR203" s="251"/>
      <c r="AS203" s="251"/>
      <c r="AT203" s="251"/>
      <c r="AU203" s="251"/>
      <c r="AV203" s="251"/>
      <c r="AW203" s="251"/>
      <c r="AX203" s="251"/>
      <c r="AY203" s="251"/>
      <c r="AZ203" s="251"/>
      <c r="BA203" s="251"/>
      <c r="BB203" s="251"/>
      <c r="BC203" s="251"/>
      <c r="BD203" s="251"/>
      <c r="BE203" s="251"/>
      <c r="BF203" s="251"/>
      <c r="BG203" s="251"/>
      <c r="BH203" s="251"/>
      <c r="BI203" s="251"/>
      <c r="BJ203" s="251"/>
      <c r="BK203" s="251"/>
      <c r="BL203" s="251"/>
      <c r="BM203" s="251"/>
      <c r="BN203" s="251"/>
      <c r="BO203" s="251"/>
      <c r="BP203" s="251"/>
      <c r="BQ203" s="251"/>
      <c r="BR203" s="251"/>
      <c r="BS203" s="251"/>
      <c r="BT203" s="251"/>
      <c r="BU203" s="251"/>
      <c r="BV203" s="251"/>
      <c r="BW203" s="251"/>
      <c r="BX203" s="251"/>
      <c r="BY203" s="251"/>
      <c r="BZ203" s="251"/>
      <c r="CA203" s="251"/>
      <c r="CB203" s="251"/>
      <c r="CC203" s="251"/>
      <c r="CD203" s="251"/>
      <c r="CE203" s="251"/>
      <c r="CF203" s="251"/>
      <c r="CG203" s="251"/>
      <c r="CH203" s="251"/>
      <c r="CI203" s="251"/>
      <c r="CJ203" s="251"/>
      <c r="CK203" s="251"/>
      <c r="CL203" s="251"/>
      <c r="CM203" s="251"/>
      <c r="CN203" s="251"/>
      <c r="CO203" s="251"/>
      <c r="CP203" s="251"/>
      <c r="CQ203" s="251"/>
      <c r="CR203" s="251"/>
      <c r="CS203" s="251"/>
      <c r="CT203" s="251"/>
      <c r="CU203" s="251"/>
      <c r="CV203" s="251"/>
      <c r="CW203" s="251"/>
      <c r="CX203" s="251"/>
      <c r="CY203" s="251"/>
      <c r="CZ203" s="251"/>
      <c r="DA203" s="251"/>
      <c r="DB203" s="251"/>
      <c r="DC203" s="251"/>
      <c r="DD203" s="251"/>
      <c r="DE203" s="251"/>
      <c r="DF203" s="251"/>
      <c r="DG203" s="251"/>
      <c r="DH203" s="251"/>
      <c r="DI203" s="251"/>
      <c r="DJ203" s="251"/>
      <c r="DK203" s="251"/>
      <c r="DL203" s="251"/>
      <c r="DM203" s="251"/>
      <c r="DN203" s="251"/>
      <c r="DO203" s="251"/>
      <c r="DP203" s="251"/>
      <c r="DQ203" s="251"/>
      <c r="DR203" s="251"/>
      <c r="DS203" s="251"/>
      <c r="DT203" s="251"/>
      <c r="DU203" s="251"/>
      <c r="DV203" s="251"/>
      <c r="DW203" s="251"/>
      <c r="DX203" s="251"/>
      <c r="DY203" s="251"/>
      <c r="DZ203" s="251"/>
      <c r="EA203" s="251"/>
      <c r="EB203" s="251"/>
      <c r="EC203" s="251"/>
      <c r="ED203" s="251"/>
      <c r="EE203" s="251"/>
      <c r="EF203" s="251"/>
      <c r="EG203" s="251"/>
      <c r="EH203" s="251"/>
      <c r="EI203" s="251"/>
      <c r="EJ203" s="251"/>
      <c r="EK203" s="251"/>
      <c r="EL203" s="251"/>
      <c r="EM203" s="251"/>
      <c r="EN203" s="251"/>
      <c r="EO203" s="251"/>
      <c r="EP203" s="251"/>
      <c r="EQ203" s="251"/>
      <c r="ER203" s="251"/>
      <c r="ES203" s="251"/>
      <c r="ET203" s="251"/>
      <c r="EU203" s="251"/>
      <c r="EV203" s="251"/>
      <c r="EW203" s="251"/>
      <c r="EX203" s="251"/>
      <c r="EY203" s="251"/>
      <c r="EZ203" s="251"/>
      <c r="FA203" s="251"/>
      <c r="FB203" s="251"/>
      <c r="FC203" s="251"/>
      <c r="FD203" s="251"/>
      <c r="FE203" s="251"/>
      <c r="FF203" s="251"/>
      <c r="FG203" s="251"/>
      <c r="FH203" s="251"/>
      <c r="FI203" s="251"/>
      <c r="FJ203" s="251"/>
      <c r="FK203" s="251"/>
      <c r="FL203" s="251"/>
      <c r="FM203" s="251"/>
      <c r="FN203" s="251"/>
      <c r="FO203" s="251"/>
      <c r="FP203" s="251"/>
      <c r="FQ203" s="251"/>
      <c r="FR203" s="251"/>
      <c r="FS203" s="251"/>
      <c r="FT203" s="251"/>
      <c r="FU203" s="251"/>
      <c r="FV203" s="251"/>
      <c r="FW203" s="251"/>
      <c r="FX203" s="251"/>
      <c r="FY203" s="251"/>
      <c r="FZ203" s="251"/>
      <c r="GA203" s="251"/>
      <c r="GB203" s="251"/>
      <c r="GC203" s="251"/>
      <c r="GD203" s="251"/>
      <c r="GE203" s="251"/>
      <c r="GF203" s="251"/>
      <c r="GG203" s="251"/>
    </row>
    <row r="204" spans="1:189" s="254" customFormat="1" ht="63" x14ac:dyDescent="0.25">
      <c r="A204" s="259" t="s">
        <v>114</v>
      </c>
      <c r="B204" s="260">
        <f t="shared" si="111"/>
        <v>0</v>
      </c>
      <c r="C204" s="260">
        <f t="shared" si="111"/>
        <v>0</v>
      </c>
      <c r="D204" s="260">
        <f t="shared" si="111"/>
        <v>0</v>
      </c>
      <c r="E204" s="260"/>
      <c r="F204" s="260"/>
      <c r="G204" s="260">
        <f t="shared" si="97"/>
        <v>0</v>
      </c>
      <c r="H204" s="260"/>
      <c r="I204" s="260"/>
      <c r="J204" s="260">
        <f t="shared" si="133"/>
        <v>0</v>
      </c>
      <c r="K204" s="260">
        <f>47000-47000</f>
        <v>0</v>
      </c>
      <c r="L204" s="260">
        <f>47000-47000</f>
        <v>0</v>
      </c>
      <c r="M204" s="260">
        <f t="shared" si="134"/>
        <v>0</v>
      </c>
      <c r="N204" s="260"/>
      <c r="O204" s="260"/>
      <c r="P204" s="260">
        <f t="shared" si="135"/>
        <v>0</v>
      </c>
      <c r="Q204" s="260"/>
      <c r="R204" s="260"/>
      <c r="S204" s="260">
        <f t="shared" si="136"/>
        <v>0</v>
      </c>
      <c r="T204" s="260"/>
      <c r="U204" s="260"/>
      <c r="V204" s="260">
        <f t="shared" si="137"/>
        <v>0</v>
      </c>
      <c r="W204" s="260"/>
      <c r="X204" s="260"/>
      <c r="Y204" s="260">
        <f t="shared" si="138"/>
        <v>0</v>
      </c>
      <c r="Z204" s="260"/>
      <c r="AA204" s="260"/>
      <c r="AB204" s="260">
        <f t="shared" si="139"/>
        <v>0</v>
      </c>
    </row>
    <row r="205" spans="1:189" s="254" customFormat="1" ht="63" x14ac:dyDescent="0.25">
      <c r="A205" s="259" t="s">
        <v>503</v>
      </c>
      <c r="B205" s="260">
        <f t="shared" si="111"/>
        <v>19744</v>
      </c>
      <c r="C205" s="260">
        <f t="shared" si="111"/>
        <v>19744</v>
      </c>
      <c r="D205" s="260">
        <f t="shared" si="111"/>
        <v>0</v>
      </c>
      <c r="E205" s="260"/>
      <c r="F205" s="260"/>
      <c r="G205" s="260">
        <f t="shared" si="97"/>
        <v>0</v>
      </c>
      <c r="H205" s="260"/>
      <c r="I205" s="260"/>
      <c r="J205" s="260">
        <f t="shared" si="133"/>
        <v>0</v>
      </c>
      <c r="K205" s="260">
        <v>19744</v>
      </c>
      <c r="L205" s="260">
        <v>19744</v>
      </c>
      <c r="M205" s="260">
        <f t="shared" si="134"/>
        <v>0</v>
      </c>
      <c r="N205" s="260"/>
      <c r="O205" s="260"/>
      <c r="P205" s="260">
        <f t="shared" si="135"/>
        <v>0</v>
      </c>
      <c r="Q205" s="260"/>
      <c r="R205" s="260"/>
      <c r="S205" s="260">
        <f t="shared" si="136"/>
        <v>0</v>
      </c>
      <c r="T205" s="260"/>
      <c r="U205" s="260"/>
      <c r="V205" s="260">
        <f t="shared" si="137"/>
        <v>0</v>
      </c>
      <c r="W205" s="260"/>
      <c r="X205" s="260"/>
      <c r="Y205" s="260">
        <f t="shared" si="138"/>
        <v>0</v>
      </c>
      <c r="Z205" s="260"/>
      <c r="AA205" s="260"/>
      <c r="AB205" s="260">
        <f t="shared" si="139"/>
        <v>0</v>
      </c>
    </row>
    <row r="206" spans="1:189" s="254" customFormat="1" ht="78.75" x14ac:dyDescent="0.25">
      <c r="A206" s="259" t="s">
        <v>115</v>
      </c>
      <c r="B206" s="260">
        <f t="shared" si="111"/>
        <v>232729</v>
      </c>
      <c r="C206" s="260">
        <f t="shared" si="111"/>
        <v>232729</v>
      </c>
      <c r="D206" s="260">
        <f t="shared" si="111"/>
        <v>0</v>
      </c>
      <c r="E206" s="260">
        <v>48476</v>
      </c>
      <c r="F206" s="260">
        <v>48476</v>
      </c>
      <c r="G206" s="260">
        <f t="shared" si="97"/>
        <v>0</v>
      </c>
      <c r="H206" s="260"/>
      <c r="I206" s="260"/>
      <c r="J206" s="260">
        <f t="shared" si="133"/>
        <v>0</v>
      </c>
      <c r="K206" s="260">
        <v>0</v>
      </c>
      <c r="L206" s="260">
        <v>0</v>
      </c>
      <c r="M206" s="260">
        <f t="shared" si="134"/>
        <v>0</v>
      </c>
      <c r="N206" s="260"/>
      <c r="O206" s="260"/>
      <c r="P206" s="260">
        <f t="shared" si="135"/>
        <v>0</v>
      </c>
      <c r="Q206" s="260"/>
      <c r="R206" s="260"/>
      <c r="S206" s="260">
        <f t="shared" si="136"/>
        <v>0</v>
      </c>
      <c r="T206" s="260">
        <v>184253</v>
      </c>
      <c r="U206" s="260">
        <v>184253</v>
      </c>
      <c r="V206" s="260">
        <f t="shared" si="137"/>
        <v>0</v>
      </c>
      <c r="W206" s="260"/>
      <c r="X206" s="260"/>
      <c r="Y206" s="260">
        <f t="shared" si="138"/>
        <v>0</v>
      </c>
      <c r="Z206" s="260"/>
      <c r="AA206" s="260"/>
      <c r="AB206" s="260">
        <f t="shared" si="139"/>
        <v>0</v>
      </c>
    </row>
    <row r="207" spans="1:189" s="254" customFormat="1" ht="31.5" x14ac:dyDescent="0.25">
      <c r="A207" s="259" t="s">
        <v>116</v>
      </c>
      <c r="B207" s="260">
        <f t="shared" si="111"/>
        <v>11886</v>
      </c>
      <c r="C207" s="260">
        <f t="shared" si="111"/>
        <v>11886</v>
      </c>
      <c r="D207" s="260">
        <f t="shared" si="111"/>
        <v>0</v>
      </c>
      <c r="E207" s="260"/>
      <c r="F207" s="260"/>
      <c r="G207" s="260">
        <f t="shared" si="97"/>
        <v>0</v>
      </c>
      <c r="H207" s="260"/>
      <c r="I207" s="260"/>
      <c r="J207" s="260">
        <f t="shared" si="133"/>
        <v>0</v>
      </c>
      <c r="K207" s="260"/>
      <c r="L207" s="260"/>
      <c r="M207" s="260">
        <f t="shared" si="134"/>
        <v>0</v>
      </c>
      <c r="N207" s="260"/>
      <c r="O207" s="260"/>
      <c r="P207" s="260">
        <f t="shared" si="135"/>
        <v>0</v>
      </c>
      <c r="Q207" s="260"/>
      <c r="R207" s="260"/>
      <c r="S207" s="260">
        <f t="shared" si="136"/>
        <v>0</v>
      </c>
      <c r="T207" s="260">
        <v>11886</v>
      </c>
      <c r="U207" s="260">
        <v>11886</v>
      </c>
      <c r="V207" s="260">
        <f t="shared" si="137"/>
        <v>0</v>
      </c>
      <c r="W207" s="260"/>
      <c r="X207" s="260"/>
      <c r="Y207" s="260">
        <f t="shared" si="138"/>
        <v>0</v>
      </c>
      <c r="Z207" s="260"/>
      <c r="AA207" s="260"/>
      <c r="AB207" s="260">
        <f t="shared" si="139"/>
        <v>0</v>
      </c>
    </row>
    <row r="208" spans="1:189" s="254" customFormat="1" ht="31.5" x14ac:dyDescent="0.25">
      <c r="A208" s="259" t="s">
        <v>117</v>
      </c>
      <c r="B208" s="260">
        <f t="shared" si="111"/>
        <v>72462</v>
      </c>
      <c r="C208" s="260">
        <f t="shared" si="111"/>
        <v>72462</v>
      </c>
      <c r="D208" s="260">
        <f t="shared" si="111"/>
        <v>0</v>
      </c>
      <c r="E208" s="260"/>
      <c r="F208" s="260"/>
      <c r="G208" s="260">
        <f t="shared" si="97"/>
        <v>0</v>
      </c>
      <c r="H208" s="260"/>
      <c r="I208" s="260"/>
      <c r="J208" s="260">
        <f t="shared" si="133"/>
        <v>0</v>
      </c>
      <c r="K208" s="260">
        <v>0</v>
      </c>
      <c r="L208" s="260">
        <v>0</v>
      </c>
      <c r="M208" s="260">
        <f t="shared" si="134"/>
        <v>0</v>
      </c>
      <c r="N208" s="260"/>
      <c r="O208" s="260"/>
      <c r="P208" s="260">
        <f t="shared" si="135"/>
        <v>0</v>
      </c>
      <c r="Q208" s="260"/>
      <c r="R208" s="260"/>
      <c r="S208" s="260">
        <f t="shared" si="136"/>
        <v>0</v>
      </c>
      <c r="T208" s="260">
        <v>72462</v>
      </c>
      <c r="U208" s="260">
        <v>72462</v>
      </c>
      <c r="V208" s="260">
        <f t="shared" si="137"/>
        <v>0</v>
      </c>
      <c r="W208" s="260"/>
      <c r="X208" s="260"/>
      <c r="Y208" s="260">
        <f t="shared" si="138"/>
        <v>0</v>
      </c>
      <c r="Z208" s="260"/>
      <c r="AA208" s="260"/>
      <c r="AB208" s="260">
        <f t="shared" si="139"/>
        <v>0</v>
      </c>
    </row>
    <row r="209" spans="1:189" s="254" customFormat="1" x14ac:dyDescent="0.25">
      <c r="A209" s="252" t="s">
        <v>31</v>
      </c>
      <c r="B209" s="253">
        <f t="shared" si="111"/>
        <v>4838917</v>
      </c>
      <c r="C209" s="253">
        <f t="shared" si="111"/>
        <v>4899602</v>
      </c>
      <c r="D209" s="253">
        <f t="shared" si="111"/>
        <v>60685</v>
      </c>
      <c r="E209" s="253">
        <f>SUM(E210,E234,E251,E230)</f>
        <v>235278</v>
      </c>
      <c r="F209" s="253">
        <f>SUM(F210,F234,F251,F230)</f>
        <v>235278</v>
      </c>
      <c r="G209" s="253">
        <f t="shared" si="97"/>
        <v>0</v>
      </c>
      <c r="H209" s="253">
        <f>SUM(H210,H234,H251,H230)</f>
        <v>0</v>
      </c>
      <c r="I209" s="253">
        <f>SUM(I210,I234,I251,I230)</f>
        <v>0</v>
      </c>
      <c r="J209" s="253">
        <f t="shared" si="133"/>
        <v>0</v>
      </c>
      <c r="K209" s="253">
        <f>SUM(K210,K234,K251,K230)</f>
        <v>140619</v>
      </c>
      <c r="L209" s="253">
        <f>SUM(L210,L234,L251,L230)</f>
        <v>182381</v>
      </c>
      <c r="M209" s="253">
        <f t="shared" si="134"/>
        <v>41762</v>
      </c>
      <c r="N209" s="253">
        <f>SUM(N210,N234,N251,N230)</f>
        <v>1663</v>
      </c>
      <c r="O209" s="253">
        <f>SUM(O210,O234,O251,O230)</f>
        <v>7601</v>
      </c>
      <c r="P209" s="253">
        <f t="shared" si="135"/>
        <v>5938</v>
      </c>
      <c r="Q209" s="253">
        <f>SUM(Q210,Q234,Q251,Q230)</f>
        <v>265799</v>
      </c>
      <c r="R209" s="253">
        <f>SUM(R210,R234,R251,R230)</f>
        <v>271173</v>
      </c>
      <c r="S209" s="253">
        <f t="shared" si="136"/>
        <v>5374</v>
      </c>
      <c r="T209" s="253">
        <f>SUM(T210,T234,T251,T230)</f>
        <v>390208</v>
      </c>
      <c r="U209" s="253">
        <f>SUM(U210,U234,U251,U230)</f>
        <v>390208</v>
      </c>
      <c r="V209" s="253">
        <f t="shared" si="137"/>
        <v>0</v>
      </c>
      <c r="W209" s="253">
        <f>SUM(W210,W234,W251,W230)</f>
        <v>33750</v>
      </c>
      <c r="X209" s="253">
        <f>SUM(X210,X234,X251,X230)</f>
        <v>841361</v>
      </c>
      <c r="Y209" s="253">
        <f t="shared" si="138"/>
        <v>807611</v>
      </c>
      <c r="Z209" s="253">
        <f>SUM(Z210,Z234,Z251,Z230)</f>
        <v>3771600</v>
      </c>
      <c r="AA209" s="253">
        <f>SUM(AA210,AA234,AA251,AA230)</f>
        <v>2971600</v>
      </c>
      <c r="AB209" s="253">
        <f t="shared" si="139"/>
        <v>-800000</v>
      </c>
    </row>
    <row r="210" spans="1:189" s="254" customFormat="1" x14ac:dyDescent="0.25">
      <c r="A210" s="252" t="s">
        <v>101</v>
      </c>
      <c r="B210" s="253">
        <f t="shared" si="111"/>
        <v>321600</v>
      </c>
      <c r="C210" s="253">
        <f t="shared" si="111"/>
        <v>336326</v>
      </c>
      <c r="D210" s="253">
        <f t="shared" si="111"/>
        <v>14726</v>
      </c>
      <c r="E210" s="253">
        <f>SUM(E211:E229)</f>
        <v>0</v>
      </c>
      <c r="F210" s="253">
        <f>SUM(F211:F229)</f>
        <v>0</v>
      </c>
      <c r="G210" s="253">
        <f t="shared" si="97"/>
        <v>0</v>
      </c>
      <c r="H210" s="253">
        <f>SUM(H211:H229)</f>
        <v>0</v>
      </c>
      <c r="I210" s="253">
        <f>SUM(I211:I229)</f>
        <v>0</v>
      </c>
      <c r="J210" s="253">
        <f t="shared" si="133"/>
        <v>0</v>
      </c>
      <c r="K210" s="253">
        <f>SUM(K211:K229)</f>
        <v>47866</v>
      </c>
      <c r="L210" s="253">
        <f>SUM(L211:L229)</f>
        <v>56654</v>
      </c>
      <c r="M210" s="253">
        <f t="shared" si="134"/>
        <v>8788</v>
      </c>
      <c r="N210" s="253">
        <f>SUM(N211:N229)</f>
        <v>0</v>
      </c>
      <c r="O210" s="253">
        <f>SUM(O211:O229)</f>
        <v>5938</v>
      </c>
      <c r="P210" s="253">
        <f t="shared" si="135"/>
        <v>5938</v>
      </c>
      <c r="Q210" s="253">
        <f>SUM(Q211:Q229)</f>
        <v>218968</v>
      </c>
      <c r="R210" s="253">
        <f>SUM(R211:R229)</f>
        <v>218968</v>
      </c>
      <c r="S210" s="253">
        <f t="shared" si="136"/>
        <v>0</v>
      </c>
      <c r="T210" s="253">
        <f>SUM(T211:T229)</f>
        <v>26016</v>
      </c>
      <c r="U210" s="253">
        <f>SUM(U211:U229)</f>
        <v>26016</v>
      </c>
      <c r="V210" s="253">
        <f t="shared" si="137"/>
        <v>0</v>
      </c>
      <c r="W210" s="253">
        <f>SUM(W211:W229)</f>
        <v>28750</v>
      </c>
      <c r="X210" s="253">
        <f>SUM(X211:X229)</f>
        <v>28750</v>
      </c>
      <c r="Y210" s="253">
        <f t="shared" si="138"/>
        <v>0</v>
      </c>
      <c r="Z210" s="253">
        <f>SUM(Z211:Z229)</f>
        <v>0</v>
      </c>
      <c r="AA210" s="253">
        <f>SUM(AA211:AA229)</f>
        <v>0</v>
      </c>
      <c r="AB210" s="253">
        <f t="shared" si="139"/>
        <v>0</v>
      </c>
    </row>
    <row r="211" spans="1:189" s="251" customFormat="1" ht="47.25" x14ac:dyDescent="0.25">
      <c r="A211" s="259" t="s">
        <v>118</v>
      </c>
      <c r="B211" s="260">
        <f t="shared" si="111"/>
        <v>26016</v>
      </c>
      <c r="C211" s="260">
        <f t="shared" si="111"/>
        <v>26016</v>
      </c>
      <c r="D211" s="260">
        <f t="shared" si="111"/>
        <v>0</v>
      </c>
      <c r="E211" s="260"/>
      <c r="F211" s="260"/>
      <c r="G211" s="260">
        <f t="shared" si="97"/>
        <v>0</v>
      </c>
      <c r="H211" s="260"/>
      <c r="I211" s="260"/>
      <c r="J211" s="260">
        <f t="shared" si="133"/>
        <v>0</v>
      </c>
      <c r="K211" s="260"/>
      <c r="L211" s="260"/>
      <c r="M211" s="260">
        <f t="shared" si="134"/>
        <v>0</v>
      </c>
      <c r="N211" s="260"/>
      <c r="O211" s="260"/>
      <c r="P211" s="260">
        <f t="shared" si="135"/>
        <v>0</v>
      </c>
      <c r="Q211" s="260"/>
      <c r="R211" s="260"/>
      <c r="S211" s="260">
        <f t="shared" si="136"/>
        <v>0</v>
      </c>
      <c r="T211" s="260">
        <f>26016</f>
        <v>26016</v>
      </c>
      <c r="U211" s="260">
        <f>26016</f>
        <v>26016</v>
      </c>
      <c r="V211" s="260">
        <f t="shared" si="137"/>
        <v>0</v>
      </c>
      <c r="W211" s="260"/>
      <c r="X211" s="260"/>
      <c r="Y211" s="260">
        <f t="shared" si="138"/>
        <v>0</v>
      </c>
      <c r="Z211" s="260"/>
      <c r="AA211" s="260"/>
      <c r="AB211" s="260">
        <f t="shared" si="139"/>
        <v>0</v>
      </c>
      <c r="AC211" s="254"/>
      <c r="AD211" s="254"/>
      <c r="AE211" s="254"/>
      <c r="AF211" s="254"/>
      <c r="AG211" s="254"/>
      <c r="AH211" s="254"/>
      <c r="AI211" s="254"/>
      <c r="AJ211" s="254"/>
      <c r="AK211" s="254"/>
      <c r="AL211" s="254"/>
      <c r="AM211" s="254"/>
      <c r="AN211" s="254"/>
      <c r="AO211" s="254"/>
      <c r="AP211" s="254"/>
      <c r="AQ211" s="254"/>
      <c r="AR211" s="254"/>
      <c r="AS211" s="254"/>
      <c r="AT211" s="254"/>
      <c r="AU211" s="254"/>
      <c r="AV211" s="254"/>
      <c r="AW211" s="254"/>
      <c r="AX211" s="254"/>
      <c r="AY211" s="254"/>
      <c r="AZ211" s="254"/>
      <c r="BA211" s="254"/>
      <c r="BB211" s="254"/>
      <c r="BC211" s="254"/>
      <c r="BD211" s="254"/>
      <c r="BE211" s="254"/>
      <c r="BF211" s="254"/>
      <c r="BG211" s="254"/>
      <c r="BH211" s="254"/>
      <c r="BI211" s="254"/>
      <c r="BJ211" s="254"/>
      <c r="BK211" s="254"/>
      <c r="BL211" s="254"/>
      <c r="BM211" s="254"/>
      <c r="BN211" s="254"/>
      <c r="BO211" s="254"/>
      <c r="BP211" s="254"/>
      <c r="BQ211" s="254"/>
      <c r="BR211" s="254"/>
      <c r="BS211" s="254"/>
      <c r="BT211" s="254"/>
      <c r="BU211" s="254"/>
      <c r="BV211" s="254"/>
      <c r="BW211" s="254"/>
      <c r="BX211" s="254"/>
      <c r="BY211" s="254"/>
      <c r="BZ211" s="254"/>
      <c r="CA211" s="254"/>
      <c r="CB211" s="254"/>
      <c r="CC211" s="254"/>
      <c r="CD211" s="254"/>
      <c r="CE211" s="254"/>
      <c r="CF211" s="254"/>
      <c r="CG211" s="254"/>
      <c r="CH211" s="254"/>
      <c r="CI211" s="254"/>
      <c r="CJ211" s="254"/>
      <c r="CK211" s="254"/>
      <c r="CL211" s="254"/>
      <c r="CM211" s="254"/>
      <c r="CN211" s="254"/>
      <c r="CO211" s="254"/>
      <c r="CP211" s="254"/>
      <c r="CQ211" s="254"/>
      <c r="CR211" s="254"/>
      <c r="CS211" s="254"/>
      <c r="CT211" s="254"/>
      <c r="CU211" s="254"/>
      <c r="CV211" s="254"/>
      <c r="CW211" s="254"/>
      <c r="CX211" s="254"/>
      <c r="CY211" s="254"/>
      <c r="CZ211" s="254"/>
      <c r="DA211" s="254"/>
      <c r="DB211" s="254"/>
      <c r="DC211" s="254"/>
      <c r="DD211" s="254"/>
      <c r="DE211" s="254"/>
      <c r="DF211" s="254"/>
      <c r="DG211" s="254"/>
      <c r="DH211" s="254"/>
      <c r="DI211" s="254"/>
      <c r="DJ211" s="254"/>
      <c r="DK211" s="254"/>
      <c r="DL211" s="254"/>
      <c r="DM211" s="254"/>
      <c r="DN211" s="254"/>
      <c r="DO211" s="254"/>
      <c r="DP211" s="254"/>
      <c r="DQ211" s="254"/>
      <c r="DR211" s="254"/>
      <c r="DS211" s="254"/>
      <c r="DT211" s="254"/>
      <c r="DU211" s="254"/>
      <c r="DV211" s="254"/>
      <c r="DW211" s="254"/>
      <c r="DX211" s="254"/>
      <c r="DY211" s="254"/>
      <c r="DZ211" s="254"/>
      <c r="EA211" s="254"/>
      <c r="EB211" s="254"/>
      <c r="EC211" s="254"/>
      <c r="ED211" s="254"/>
      <c r="EE211" s="254"/>
      <c r="EF211" s="254"/>
      <c r="EG211" s="254"/>
      <c r="EH211" s="254"/>
      <c r="EI211" s="254"/>
      <c r="EJ211" s="254"/>
      <c r="EK211" s="254"/>
      <c r="EL211" s="254"/>
      <c r="EM211" s="254"/>
      <c r="EN211" s="254"/>
      <c r="EO211" s="254"/>
      <c r="EP211" s="254"/>
      <c r="EQ211" s="254"/>
      <c r="ER211" s="254"/>
      <c r="ES211" s="254"/>
      <c r="ET211" s="254"/>
      <c r="EU211" s="254"/>
      <c r="EV211" s="254"/>
      <c r="EW211" s="254"/>
      <c r="EX211" s="254"/>
      <c r="EY211" s="254"/>
      <c r="EZ211" s="254"/>
      <c r="FA211" s="254"/>
      <c r="FB211" s="254"/>
      <c r="FC211" s="254"/>
      <c r="FD211" s="254"/>
      <c r="FE211" s="254"/>
      <c r="FF211" s="254"/>
      <c r="FG211" s="254"/>
      <c r="FH211" s="254"/>
      <c r="FI211" s="254"/>
      <c r="FJ211" s="254"/>
      <c r="FK211" s="254"/>
      <c r="FL211" s="254"/>
      <c r="FM211" s="254"/>
      <c r="FN211" s="254"/>
      <c r="FO211" s="254"/>
      <c r="FP211" s="254"/>
      <c r="FQ211" s="254"/>
      <c r="FR211" s="254"/>
      <c r="FS211" s="254"/>
      <c r="FT211" s="254"/>
      <c r="FU211" s="254"/>
      <c r="FV211" s="254"/>
      <c r="FW211" s="254"/>
      <c r="FX211" s="254"/>
      <c r="FY211" s="254"/>
      <c r="FZ211" s="254"/>
      <c r="GA211" s="254"/>
      <c r="GB211" s="254"/>
      <c r="GC211" s="254"/>
      <c r="GD211" s="254"/>
      <c r="GE211" s="254"/>
      <c r="GF211" s="254"/>
      <c r="GG211" s="254"/>
    </row>
    <row r="212" spans="1:189" s="251" customFormat="1" ht="31.5" x14ac:dyDescent="0.25">
      <c r="A212" s="259" t="s">
        <v>238</v>
      </c>
      <c r="B212" s="260">
        <f t="shared" si="111"/>
        <v>20188</v>
      </c>
      <c r="C212" s="260">
        <f t="shared" si="111"/>
        <v>20188</v>
      </c>
      <c r="D212" s="260">
        <f t="shared" si="111"/>
        <v>0</v>
      </c>
      <c r="E212" s="260"/>
      <c r="F212" s="260"/>
      <c r="G212" s="260">
        <f t="shared" si="97"/>
        <v>0</v>
      </c>
      <c r="H212" s="260"/>
      <c r="I212" s="260"/>
      <c r="J212" s="260">
        <f t="shared" si="133"/>
        <v>0</v>
      </c>
      <c r="K212" s="260">
        <f>8340+9240+1408+1200</f>
        <v>20188</v>
      </c>
      <c r="L212" s="260">
        <f>8340+9240+1408+1200</f>
        <v>20188</v>
      </c>
      <c r="M212" s="260">
        <f t="shared" si="134"/>
        <v>0</v>
      </c>
      <c r="N212" s="260"/>
      <c r="O212" s="260"/>
      <c r="P212" s="260">
        <f t="shared" si="135"/>
        <v>0</v>
      </c>
      <c r="Q212" s="260"/>
      <c r="R212" s="260"/>
      <c r="S212" s="260">
        <f t="shared" si="136"/>
        <v>0</v>
      </c>
      <c r="T212" s="260"/>
      <c r="U212" s="260"/>
      <c r="V212" s="260">
        <f t="shared" si="137"/>
        <v>0</v>
      </c>
      <c r="W212" s="260"/>
      <c r="X212" s="260"/>
      <c r="Y212" s="260">
        <f t="shared" si="138"/>
        <v>0</v>
      </c>
      <c r="Z212" s="260"/>
      <c r="AA212" s="260"/>
      <c r="AB212" s="260">
        <f t="shared" si="139"/>
        <v>0</v>
      </c>
      <c r="AC212" s="254"/>
      <c r="AD212" s="254"/>
      <c r="AE212" s="254"/>
      <c r="AF212" s="254"/>
      <c r="AG212" s="254"/>
      <c r="AH212" s="254"/>
      <c r="AI212" s="254"/>
      <c r="AJ212" s="254"/>
      <c r="AK212" s="254"/>
      <c r="AL212" s="254"/>
      <c r="AM212" s="254"/>
      <c r="AN212" s="254"/>
      <c r="AO212" s="254"/>
      <c r="AP212" s="254"/>
      <c r="AQ212" s="254"/>
      <c r="AR212" s="254"/>
      <c r="AS212" s="254"/>
      <c r="AT212" s="254"/>
      <c r="AU212" s="254"/>
      <c r="AV212" s="254"/>
      <c r="AW212" s="254"/>
      <c r="AX212" s="254"/>
      <c r="AY212" s="254"/>
      <c r="AZ212" s="254"/>
      <c r="BA212" s="254"/>
      <c r="BB212" s="254"/>
      <c r="BC212" s="254"/>
      <c r="BD212" s="254"/>
      <c r="BE212" s="254"/>
      <c r="BF212" s="254"/>
      <c r="BG212" s="254"/>
      <c r="BH212" s="254"/>
      <c r="BI212" s="254"/>
      <c r="BJ212" s="254"/>
      <c r="BK212" s="254"/>
      <c r="BL212" s="254"/>
      <c r="BM212" s="254"/>
      <c r="BN212" s="254"/>
      <c r="BO212" s="254"/>
      <c r="BP212" s="254"/>
      <c r="BQ212" s="254"/>
      <c r="BR212" s="254"/>
      <c r="BS212" s="254"/>
      <c r="BT212" s="254"/>
      <c r="BU212" s="254"/>
      <c r="BV212" s="254"/>
      <c r="BW212" s="254"/>
      <c r="BX212" s="254"/>
      <c r="BY212" s="254"/>
      <c r="BZ212" s="254"/>
      <c r="CA212" s="254"/>
      <c r="CB212" s="254"/>
      <c r="CC212" s="254"/>
      <c r="CD212" s="254"/>
      <c r="CE212" s="254"/>
      <c r="CF212" s="254"/>
      <c r="CG212" s="254"/>
      <c r="CH212" s="254"/>
      <c r="CI212" s="254"/>
      <c r="CJ212" s="254"/>
      <c r="CK212" s="254"/>
      <c r="CL212" s="254"/>
      <c r="CM212" s="254"/>
      <c r="CN212" s="254"/>
      <c r="CO212" s="254"/>
      <c r="CP212" s="254"/>
      <c r="CQ212" s="254"/>
      <c r="CR212" s="254"/>
      <c r="CS212" s="254"/>
      <c r="CT212" s="254"/>
      <c r="CU212" s="254"/>
      <c r="CV212" s="254"/>
      <c r="CW212" s="254"/>
      <c r="CX212" s="254"/>
      <c r="CY212" s="254"/>
      <c r="CZ212" s="254"/>
      <c r="DA212" s="254"/>
      <c r="DB212" s="254"/>
      <c r="DC212" s="254"/>
      <c r="DD212" s="254"/>
      <c r="DE212" s="254"/>
      <c r="DF212" s="254"/>
      <c r="DG212" s="254"/>
      <c r="DH212" s="254"/>
      <c r="DI212" s="254"/>
      <c r="DJ212" s="254"/>
      <c r="DK212" s="254"/>
      <c r="DL212" s="254"/>
      <c r="DM212" s="254"/>
      <c r="DN212" s="254"/>
      <c r="DO212" s="254"/>
      <c r="DP212" s="254"/>
      <c r="DQ212" s="254"/>
      <c r="DR212" s="254"/>
      <c r="DS212" s="254"/>
      <c r="DT212" s="254"/>
      <c r="DU212" s="254"/>
      <c r="DV212" s="254"/>
      <c r="DW212" s="254"/>
      <c r="DX212" s="254"/>
      <c r="DY212" s="254"/>
      <c r="DZ212" s="254"/>
      <c r="EA212" s="254"/>
      <c r="EB212" s="254"/>
      <c r="EC212" s="254"/>
      <c r="ED212" s="254"/>
      <c r="EE212" s="254"/>
      <c r="EF212" s="254"/>
      <c r="EG212" s="254"/>
      <c r="EH212" s="254"/>
      <c r="EI212" s="254"/>
      <c r="EJ212" s="254"/>
      <c r="EK212" s="254"/>
      <c r="EL212" s="254"/>
      <c r="EM212" s="254"/>
      <c r="EN212" s="254"/>
      <c r="EO212" s="254"/>
      <c r="EP212" s="254"/>
      <c r="EQ212" s="254"/>
      <c r="ER212" s="254"/>
      <c r="ES212" s="254"/>
      <c r="ET212" s="254"/>
      <c r="EU212" s="254"/>
      <c r="EV212" s="254"/>
      <c r="EW212" s="254"/>
      <c r="EX212" s="254"/>
      <c r="EY212" s="254"/>
      <c r="EZ212" s="254"/>
      <c r="FA212" s="254"/>
      <c r="FB212" s="254"/>
      <c r="FC212" s="254"/>
      <c r="FD212" s="254"/>
      <c r="FE212" s="254"/>
      <c r="FF212" s="254"/>
      <c r="FG212" s="254"/>
      <c r="FH212" s="254"/>
      <c r="FI212" s="254"/>
      <c r="FJ212" s="254"/>
      <c r="FK212" s="254"/>
      <c r="FL212" s="254"/>
      <c r="FM212" s="254"/>
      <c r="FN212" s="254"/>
      <c r="FO212" s="254"/>
      <c r="FP212" s="254"/>
      <c r="FQ212" s="254"/>
      <c r="FR212" s="254"/>
      <c r="FS212" s="254"/>
      <c r="FT212" s="254"/>
      <c r="FU212" s="254"/>
      <c r="FV212" s="254"/>
      <c r="FW212" s="254"/>
      <c r="FX212" s="254"/>
      <c r="FY212" s="254"/>
      <c r="FZ212" s="254"/>
      <c r="GA212" s="254"/>
      <c r="GB212" s="254"/>
      <c r="GC212" s="254"/>
      <c r="GD212" s="254"/>
      <c r="GE212" s="254"/>
      <c r="GF212" s="254"/>
      <c r="GG212" s="254"/>
    </row>
    <row r="213" spans="1:189" s="251" customFormat="1" ht="31.5" x14ac:dyDescent="0.25">
      <c r="A213" s="259" t="s">
        <v>243</v>
      </c>
      <c r="B213" s="260">
        <f t="shared" si="111"/>
        <v>6940</v>
      </c>
      <c r="C213" s="260">
        <f t="shared" si="111"/>
        <v>6940</v>
      </c>
      <c r="D213" s="260">
        <f t="shared" si="111"/>
        <v>0</v>
      </c>
      <c r="E213" s="260"/>
      <c r="F213" s="260"/>
      <c r="G213" s="260">
        <f t="shared" si="97"/>
        <v>0</v>
      </c>
      <c r="H213" s="260"/>
      <c r="I213" s="260"/>
      <c r="J213" s="260">
        <f t="shared" si="133"/>
        <v>0</v>
      </c>
      <c r="K213" s="260">
        <v>1371</v>
      </c>
      <c r="L213" s="260">
        <v>1371</v>
      </c>
      <c r="M213" s="260">
        <f t="shared" si="134"/>
        <v>0</v>
      </c>
      <c r="N213" s="260"/>
      <c r="O213" s="260"/>
      <c r="P213" s="260">
        <f t="shared" si="135"/>
        <v>0</v>
      </c>
      <c r="Q213" s="260">
        <f>3840+1729</f>
        <v>5569</v>
      </c>
      <c r="R213" s="260">
        <f>3840+1729</f>
        <v>5569</v>
      </c>
      <c r="S213" s="260">
        <f t="shared" si="136"/>
        <v>0</v>
      </c>
      <c r="T213" s="260"/>
      <c r="U213" s="260"/>
      <c r="V213" s="260">
        <f t="shared" si="137"/>
        <v>0</v>
      </c>
      <c r="W213" s="260"/>
      <c r="X213" s="260"/>
      <c r="Y213" s="260">
        <f>X213-W213</f>
        <v>0</v>
      </c>
      <c r="Z213" s="260"/>
      <c r="AA213" s="260"/>
      <c r="AB213" s="260">
        <f t="shared" si="139"/>
        <v>0</v>
      </c>
      <c r="AC213" s="254"/>
      <c r="AD213" s="254"/>
      <c r="AE213" s="254"/>
      <c r="AF213" s="254"/>
      <c r="AG213" s="254"/>
      <c r="AH213" s="254"/>
      <c r="AI213" s="254"/>
      <c r="AJ213" s="254"/>
      <c r="AK213" s="254"/>
      <c r="AL213" s="254"/>
      <c r="AM213" s="254"/>
      <c r="AN213" s="254"/>
      <c r="AO213" s="254"/>
      <c r="AP213" s="254"/>
      <c r="AQ213" s="254"/>
      <c r="AR213" s="254"/>
      <c r="AS213" s="254"/>
      <c r="AT213" s="254"/>
      <c r="AU213" s="254"/>
      <c r="AV213" s="254"/>
      <c r="AW213" s="254"/>
      <c r="AX213" s="254"/>
      <c r="AY213" s="254"/>
      <c r="AZ213" s="254"/>
      <c r="BA213" s="254"/>
      <c r="BB213" s="254"/>
      <c r="BC213" s="254"/>
      <c r="BD213" s="254"/>
      <c r="BE213" s="254"/>
      <c r="BF213" s="254"/>
      <c r="BG213" s="254"/>
      <c r="BH213" s="254"/>
      <c r="BI213" s="254"/>
      <c r="BJ213" s="254"/>
      <c r="BK213" s="254"/>
      <c r="BL213" s="254"/>
      <c r="BM213" s="254"/>
      <c r="BN213" s="254"/>
      <c r="BO213" s="254"/>
      <c r="BP213" s="254"/>
      <c r="BQ213" s="254"/>
      <c r="BR213" s="254"/>
      <c r="BS213" s="254"/>
      <c r="BT213" s="254"/>
      <c r="BU213" s="254"/>
      <c r="BV213" s="254"/>
      <c r="BW213" s="254"/>
      <c r="BX213" s="254"/>
      <c r="BY213" s="254"/>
      <c r="BZ213" s="254"/>
      <c r="CA213" s="254"/>
      <c r="CB213" s="254"/>
      <c r="CC213" s="254"/>
      <c r="CD213" s="254"/>
      <c r="CE213" s="254"/>
      <c r="CF213" s="254"/>
      <c r="CG213" s="254"/>
      <c r="CH213" s="254"/>
      <c r="CI213" s="254"/>
      <c r="CJ213" s="254"/>
      <c r="CK213" s="254"/>
      <c r="CL213" s="254"/>
      <c r="CM213" s="254"/>
      <c r="CN213" s="254"/>
      <c r="CO213" s="254"/>
      <c r="CP213" s="254"/>
      <c r="CQ213" s="254"/>
      <c r="CR213" s="254"/>
      <c r="CS213" s="254"/>
      <c r="CT213" s="254"/>
      <c r="CU213" s="254"/>
      <c r="CV213" s="254"/>
      <c r="CW213" s="254"/>
      <c r="CX213" s="254"/>
      <c r="CY213" s="254"/>
      <c r="CZ213" s="254"/>
      <c r="DA213" s="254"/>
      <c r="DB213" s="254"/>
      <c r="DC213" s="254"/>
      <c r="DD213" s="254"/>
      <c r="DE213" s="254"/>
      <c r="DF213" s="254"/>
      <c r="DG213" s="254"/>
      <c r="DH213" s="254"/>
      <c r="DI213" s="254"/>
      <c r="DJ213" s="254"/>
      <c r="DK213" s="254"/>
      <c r="DL213" s="254"/>
      <c r="DM213" s="254"/>
      <c r="DN213" s="254"/>
      <c r="DO213" s="254"/>
      <c r="DP213" s="254"/>
      <c r="DQ213" s="254"/>
      <c r="DR213" s="254"/>
      <c r="DS213" s="254"/>
      <c r="DT213" s="254"/>
      <c r="DU213" s="254"/>
      <c r="DV213" s="254"/>
      <c r="DW213" s="254"/>
      <c r="DX213" s="254"/>
      <c r="DY213" s="254"/>
      <c r="DZ213" s="254"/>
      <c r="EA213" s="254"/>
      <c r="EB213" s="254"/>
      <c r="EC213" s="254"/>
      <c r="ED213" s="254"/>
      <c r="EE213" s="254"/>
      <c r="EF213" s="254"/>
      <c r="EG213" s="254"/>
      <c r="EH213" s="254"/>
      <c r="EI213" s="254"/>
      <c r="EJ213" s="254"/>
      <c r="EK213" s="254"/>
      <c r="EL213" s="254"/>
      <c r="EM213" s="254"/>
      <c r="EN213" s="254"/>
      <c r="EO213" s="254"/>
      <c r="EP213" s="254"/>
      <c r="EQ213" s="254"/>
      <c r="ER213" s="254"/>
      <c r="ES213" s="254"/>
      <c r="ET213" s="254"/>
      <c r="EU213" s="254"/>
      <c r="EV213" s="254"/>
      <c r="EW213" s="254"/>
      <c r="EX213" s="254"/>
      <c r="EY213" s="254"/>
      <c r="EZ213" s="254"/>
      <c r="FA213" s="254"/>
      <c r="FB213" s="254"/>
      <c r="FC213" s="254"/>
      <c r="FD213" s="254"/>
      <c r="FE213" s="254"/>
      <c r="FF213" s="254"/>
      <c r="FG213" s="254"/>
      <c r="FH213" s="254"/>
      <c r="FI213" s="254"/>
      <c r="FJ213" s="254"/>
      <c r="FK213" s="254"/>
      <c r="FL213" s="254"/>
      <c r="FM213" s="254"/>
      <c r="FN213" s="254"/>
      <c r="FO213" s="254"/>
      <c r="FP213" s="254"/>
      <c r="FQ213" s="254"/>
      <c r="FR213" s="254"/>
      <c r="FS213" s="254"/>
      <c r="FT213" s="254"/>
      <c r="FU213" s="254"/>
      <c r="FV213" s="254"/>
      <c r="FW213" s="254"/>
      <c r="FX213" s="254"/>
      <c r="FY213" s="254"/>
      <c r="FZ213" s="254"/>
      <c r="GA213" s="254"/>
      <c r="GB213" s="254"/>
      <c r="GC213" s="254"/>
      <c r="GD213" s="254"/>
      <c r="GE213" s="254"/>
      <c r="GF213" s="254"/>
      <c r="GG213" s="254"/>
    </row>
    <row r="214" spans="1:189" s="254" customFormat="1" x14ac:dyDescent="0.25">
      <c r="A214" s="259" t="s">
        <v>481</v>
      </c>
      <c r="B214" s="260">
        <f t="shared" si="111"/>
        <v>918</v>
      </c>
      <c r="C214" s="260">
        <f t="shared" si="111"/>
        <v>918</v>
      </c>
      <c r="D214" s="260">
        <f t="shared" si="111"/>
        <v>0</v>
      </c>
      <c r="E214" s="260"/>
      <c r="F214" s="260"/>
      <c r="G214" s="260">
        <f t="shared" si="97"/>
        <v>0</v>
      </c>
      <c r="H214" s="260"/>
      <c r="I214" s="260"/>
      <c r="J214" s="260">
        <f t="shared" si="133"/>
        <v>0</v>
      </c>
      <c r="K214" s="260">
        <v>918</v>
      </c>
      <c r="L214" s="260">
        <v>918</v>
      </c>
      <c r="M214" s="260">
        <f t="shared" si="134"/>
        <v>0</v>
      </c>
      <c r="N214" s="260"/>
      <c r="O214" s="260"/>
      <c r="P214" s="260">
        <f t="shared" si="135"/>
        <v>0</v>
      </c>
      <c r="Q214" s="260"/>
      <c r="R214" s="260"/>
      <c r="S214" s="260">
        <f t="shared" si="136"/>
        <v>0</v>
      </c>
      <c r="T214" s="260"/>
      <c r="U214" s="260"/>
      <c r="V214" s="260">
        <f t="shared" si="137"/>
        <v>0</v>
      </c>
      <c r="W214" s="260"/>
      <c r="X214" s="260"/>
      <c r="Y214" s="260">
        <f t="shared" ref="Y214:Y224" si="264">X214-W214</f>
        <v>0</v>
      </c>
      <c r="Z214" s="260"/>
      <c r="AA214" s="260"/>
      <c r="AB214" s="260">
        <f t="shared" si="139"/>
        <v>0</v>
      </c>
    </row>
    <row r="215" spans="1:189" s="254" customFormat="1" ht="31.5" x14ac:dyDescent="0.25">
      <c r="A215" s="259" t="s">
        <v>564</v>
      </c>
      <c r="B215" s="260">
        <f t="shared" ref="B215:B216" si="265">E215+H215+K215+N215+Q215+T215+Z215+W215</f>
        <v>0</v>
      </c>
      <c r="C215" s="260">
        <f t="shared" ref="C215:C216" si="266">F215+I215+L215+O215+R215+U215+AA215+X215</f>
        <v>1700</v>
      </c>
      <c r="D215" s="260">
        <f t="shared" ref="D215:D216" si="267">G215+J215+M215+P215+S215+V215+AB215+Y215</f>
        <v>1700</v>
      </c>
      <c r="E215" s="260"/>
      <c r="F215" s="260"/>
      <c r="G215" s="260">
        <f t="shared" ref="G215:G216" si="268">F215-E215</f>
        <v>0</v>
      </c>
      <c r="H215" s="260"/>
      <c r="I215" s="260"/>
      <c r="J215" s="260">
        <f t="shared" ref="J215:J216" si="269">I215-H215</f>
        <v>0</v>
      </c>
      <c r="K215" s="260"/>
      <c r="L215" s="260"/>
      <c r="M215" s="260">
        <f t="shared" ref="M215:M216" si="270">L215-K215</f>
        <v>0</v>
      </c>
      <c r="N215" s="260"/>
      <c r="O215" s="260">
        <v>1700</v>
      </c>
      <c r="P215" s="260">
        <f t="shared" ref="P215:P216" si="271">O215-N215</f>
        <v>1700</v>
      </c>
      <c r="Q215" s="260"/>
      <c r="R215" s="260"/>
      <c r="S215" s="260">
        <f t="shared" ref="S215:S216" si="272">R215-Q215</f>
        <v>0</v>
      </c>
      <c r="T215" s="260"/>
      <c r="U215" s="260"/>
      <c r="V215" s="260">
        <f t="shared" ref="V215:V216" si="273">U215-T215</f>
        <v>0</v>
      </c>
      <c r="W215" s="260"/>
      <c r="X215" s="260"/>
      <c r="Y215" s="260">
        <f t="shared" ref="Y215:Y216" si="274">X215-W215</f>
        <v>0</v>
      </c>
      <c r="Z215" s="260"/>
      <c r="AA215" s="260"/>
      <c r="AB215" s="260">
        <f t="shared" ref="AB215:AB216" si="275">AA215-Z215</f>
        <v>0</v>
      </c>
    </row>
    <row r="216" spans="1:189" s="254" customFormat="1" ht="31.5" x14ac:dyDescent="0.25">
      <c r="A216" s="259" t="s">
        <v>565</v>
      </c>
      <c r="B216" s="260">
        <f t="shared" si="265"/>
        <v>0</v>
      </c>
      <c r="C216" s="260">
        <f t="shared" si="266"/>
        <v>4238</v>
      </c>
      <c r="D216" s="260">
        <f t="shared" si="267"/>
        <v>4238</v>
      </c>
      <c r="E216" s="260"/>
      <c r="F216" s="260"/>
      <c r="G216" s="260">
        <f t="shared" si="268"/>
        <v>0</v>
      </c>
      <c r="H216" s="260"/>
      <c r="I216" s="260"/>
      <c r="J216" s="260">
        <f t="shared" si="269"/>
        <v>0</v>
      </c>
      <c r="K216" s="260"/>
      <c r="L216" s="260"/>
      <c r="M216" s="260">
        <f t="shared" si="270"/>
        <v>0</v>
      </c>
      <c r="N216" s="260"/>
      <c r="O216" s="260">
        <v>4238</v>
      </c>
      <c r="P216" s="260">
        <f t="shared" si="271"/>
        <v>4238</v>
      </c>
      <c r="Q216" s="260"/>
      <c r="R216" s="260"/>
      <c r="S216" s="260">
        <f t="shared" si="272"/>
        <v>0</v>
      </c>
      <c r="T216" s="260"/>
      <c r="U216" s="260"/>
      <c r="V216" s="260">
        <f t="shared" si="273"/>
        <v>0</v>
      </c>
      <c r="W216" s="260"/>
      <c r="X216" s="260"/>
      <c r="Y216" s="260">
        <f t="shared" si="274"/>
        <v>0</v>
      </c>
      <c r="Z216" s="260"/>
      <c r="AA216" s="260"/>
      <c r="AB216" s="260">
        <f t="shared" si="275"/>
        <v>0</v>
      </c>
    </row>
    <row r="217" spans="1:189" s="254" customFormat="1" ht="31.5" x14ac:dyDescent="0.25">
      <c r="A217" s="259" t="s">
        <v>508</v>
      </c>
      <c r="B217" s="260">
        <f t="shared" si="111"/>
        <v>1836</v>
      </c>
      <c r="C217" s="260">
        <f t="shared" si="111"/>
        <v>1836</v>
      </c>
      <c r="D217" s="260">
        <f t="shared" si="111"/>
        <v>0</v>
      </c>
      <c r="E217" s="260"/>
      <c r="F217" s="260"/>
      <c r="G217" s="260">
        <f t="shared" si="97"/>
        <v>0</v>
      </c>
      <c r="H217" s="260"/>
      <c r="I217" s="260"/>
      <c r="J217" s="260">
        <f t="shared" si="133"/>
        <v>0</v>
      </c>
      <c r="K217" s="260">
        <f>1836</f>
        <v>1836</v>
      </c>
      <c r="L217" s="260">
        <f>1836</f>
        <v>1836</v>
      </c>
      <c r="M217" s="260">
        <f t="shared" si="134"/>
        <v>0</v>
      </c>
      <c r="N217" s="260"/>
      <c r="O217" s="260"/>
      <c r="P217" s="260">
        <f t="shared" si="135"/>
        <v>0</v>
      </c>
      <c r="Q217" s="260"/>
      <c r="R217" s="260"/>
      <c r="S217" s="260">
        <f t="shared" si="136"/>
        <v>0</v>
      </c>
      <c r="T217" s="260"/>
      <c r="U217" s="260"/>
      <c r="V217" s="260">
        <f t="shared" si="137"/>
        <v>0</v>
      </c>
      <c r="W217" s="260"/>
      <c r="X217" s="260"/>
      <c r="Y217" s="260">
        <f t="shared" si="264"/>
        <v>0</v>
      </c>
      <c r="Z217" s="260"/>
      <c r="AA217" s="260"/>
      <c r="AB217" s="260">
        <f t="shared" si="139"/>
        <v>0</v>
      </c>
    </row>
    <row r="218" spans="1:189" s="251" customFormat="1" ht="31.5" x14ac:dyDescent="0.25">
      <c r="A218" s="259" t="s">
        <v>403</v>
      </c>
      <c r="B218" s="260">
        <f t="shared" si="111"/>
        <v>28750</v>
      </c>
      <c r="C218" s="260">
        <f t="shared" si="111"/>
        <v>28750</v>
      </c>
      <c r="D218" s="260">
        <f t="shared" si="111"/>
        <v>0</v>
      </c>
      <c r="E218" s="260"/>
      <c r="F218" s="260"/>
      <c r="G218" s="260">
        <f t="shared" si="97"/>
        <v>0</v>
      </c>
      <c r="H218" s="260"/>
      <c r="I218" s="260"/>
      <c r="J218" s="260">
        <f t="shared" si="133"/>
        <v>0</v>
      </c>
      <c r="K218" s="260"/>
      <c r="L218" s="260"/>
      <c r="M218" s="260">
        <f t="shared" si="134"/>
        <v>0</v>
      </c>
      <c r="N218" s="260"/>
      <c r="O218" s="260"/>
      <c r="P218" s="260">
        <f t="shared" si="135"/>
        <v>0</v>
      </c>
      <c r="Q218" s="260"/>
      <c r="R218" s="260"/>
      <c r="S218" s="260">
        <f t="shared" si="136"/>
        <v>0</v>
      </c>
      <c r="T218" s="260"/>
      <c r="U218" s="260"/>
      <c r="V218" s="260">
        <f t="shared" si="137"/>
        <v>0</v>
      </c>
      <c r="W218" s="260">
        <v>28750</v>
      </c>
      <c r="X218" s="260">
        <v>28750</v>
      </c>
      <c r="Y218" s="260">
        <f t="shared" si="264"/>
        <v>0</v>
      </c>
      <c r="Z218" s="260"/>
      <c r="AA218" s="260"/>
      <c r="AB218" s="260">
        <f t="shared" si="139"/>
        <v>0</v>
      </c>
      <c r="AC218" s="254"/>
      <c r="AD218" s="254"/>
      <c r="AE218" s="254"/>
      <c r="AF218" s="254"/>
      <c r="AG218" s="254"/>
      <c r="AH218" s="254"/>
      <c r="AI218" s="254"/>
      <c r="AJ218" s="254"/>
      <c r="AK218" s="254"/>
      <c r="AL218" s="254"/>
      <c r="AM218" s="254"/>
      <c r="AN218" s="254"/>
      <c r="AO218" s="254"/>
      <c r="AP218" s="254"/>
      <c r="AQ218" s="254"/>
      <c r="AR218" s="254"/>
      <c r="AS218" s="254"/>
      <c r="AT218" s="254"/>
      <c r="AU218" s="254"/>
      <c r="AV218" s="254"/>
      <c r="AW218" s="254"/>
      <c r="AX218" s="254"/>
      <c r="AY218" s="254"/>
      <c r="AZ218" s="254"/>
      <c r="BA218" s="254"/>
      <c r="BB218" s="254"/>
      <c r="BC218" s="254"/>
      <c r="BD218" s="254"/>
      <c r="BE218" s="254"/>
      <c r="BF218" s="254"/>
      <c r="BG218" s="254"/>
      <c r="BH218" s="254"/>
      <c r="BI218" s="254"/>
      <c r="BJ218" s="254"/>
      <c r="BK218" s="254"/>
      <c r="BL218" s="254"/>
      <c r="BM218" s="254"/>
      <c r="BN218" s="254"/>
      <c r="BO218" s="254"/>
      <c r="BP218" s="254"/>
      <c r="BQ218" s="254"/>
      <c r="BR218" s="254"/>
      <c r="BS218" s="254"/>
      <c r="BT218" s="254"/>
      <c r="BU218" s="254"/>
      <c r="BV218" s="254"/>
      <c r="BW218" s="254"/>
      <c r="BX218" s="254"/>
      <c r="BY218" s="254"/>
      <c r="BZ218" s="254"/>
      <c r="CA218" s="254"/>
      <c r="CB218" s="254"/>
      <c r="CC218" s="254"/>
      <c r="CD218" s="254"/>
      <c r="CE218" s="254"/>
      <c r="CF218" s="254"/>
      <c r="CG218" s="254"/>
      <c r="CH218" s="254"/>
      <c r="CI218" s="254"/>
      <c r="CJ218" s="254"/>
      <c r="CK218" s="254"/>
      <c r="CL218" s="254"/>
      <c r="CM218" s="254"/>
      <c r="CN218" s="254"/>
      <c r="CO218" s="254"/>
      <c r="CP218" s="254"/>
      <c r="CQ218" s="254"/>
      <c r="CR218" s="254"/>
      <c r="CS218" s="254"/>
      <c r="CT218" s="254"/>
      <c r="CU218" s="254"/>
      <c r="CV218" s="254"/>
      <c r="CW218" s="254"/>
      <c r="CX218" s="254"/>
      <c r="CY218" s="254"/>
      <c r="CZ218" s="254"/>
      <c r="DA218" s="254"/>
      <c r="DB218" s="254"/>
      <c r="DC218" s="254"/>
      <c r="DD218" s="254"/>
      <c r="DE218" s="254"/>
      <c r="DF218" s="254"/>
      <c r="DG218" s="254"/>
      <c r="DH218" s="254"/>
      <c r="DI218" s="254"/>
      <c r="DJ218" s="254"/>
      <c r="DK218" s="254"/>
      <c r="DL218" s="254"/>
      <c r="DM218" s="254"/>
      <c r="DN218" s="254"/>
      <c r="DO218" s="254"/>
      <c r="DP218" s="254"/>
      <c r="DQ218" s="254"/>
      <c r="DR218" s="254"/>
      <c r="DS218" s="254"/>
      <c r="DT218" s="254"/>
      <c r="DU218" s="254"/>
      <c r="DV218" s="254"/>
      <c r="DW218" s="254"/>
      <c r="DX218" s="254"/>
      <c r="DY218" s="254"/>
      <c r="DZ218" s="254"/>
      <c r="EA218" s="254"/>
      <c r="EB218" s="254"/>
      <c r="EC218" s="254"/>
      <c r="ED218" s="254"/>
      <c r="EE218" s="254"/>
      <c r="EF218" s="254"/>
      <c r="EG218" s="254"/>
      <c r="EH218" s="254"/>
      <c r="EI218" s="254"/>
      <c r="EJ218" s="254"/>
      <c r="EK218" s="254"/>
      <c r="EL218" s="254"/>
      <c r="EM218" s="254"/>
      <c r="EN218" s="254"/>
      <c r="EO218" s="254"/>
      <c r="EP218" s="254"/>
      <c r="EQ218" s="254"/>
      <c r="ER218" s="254"/>
      <c r="ES218" s="254"/>
      <c r="ET218" s="254"/>
      <c r="EU218" s="254"/>
      <c r="EV218" s="254"/>
      <c r="EW218" s="254"/>
      <c r="EX218" s="254"/>
      <c r="EY218" s="254"/>
      <c r="EZ218" s="254"/>
      <c r="FA218" s="254"/>
      <c r="FB218" s="254"/>
      <c r="FC218" s="254"/>
      <c r="FD218" s="254"/>
      <c r="FE218" s="254"/>
      <c r="FF218" s="254"/>
      <c r="FG218" s="254"/>
      <c r="FH218" s="254"/>
      <c r="FI218" s="254"/>
      <c r="FJ218" s="254"/>
      <c r="FK218" s="254"/>
      <c r="FL218" s="254"/>
      <c r="FM218" s="254"/>
      <c r="FN218" s="254"/>
      <c r="FO218" s="254"/>
      <c r="FP218" s="254"/>
      <c r="FQ218" s="254"/>
      <c r="FR218" s="254"/>
      <c r="FS218" s="254"/>
      <c r="FT218" s="254"/>
      <c r="FU218" s="254"/>
      <c r="FV218" s="254"/>
      <c r="FW218" s="254"/>
      <c r="FX218" s="254"/>
      <c r="FY218" s="254"/>
      <c r="FZ218" s="254"/>
      <c r="GA218" s="254"/>
      <c r="GB218" s="254"/>
      <c r="GC218" s="254"/>
      <c r="GD218" s="254"/>
      <c r="GE218" s="254"/>
      <c r="GF218" s="254"/>
      <c r="GG218" s="254"/>
    </row>
    <row r="219" spans="1:189" s="251" customFormat="1" ht="31.5" x14ac:dyDescent="0.25">
      <c r="A219" s="259" t="s">
        <v>550</v>
      </c>
      <c r="B219" s="260">
        <f t="shared" ref="B219" si="276">E219+H219+K219+N219+Q219+T219+Z219+W219</f>
        <v>0</v>
      </c>
      <c r="C219" s="260">
        <f t="shared" ref="C219" si="277">F219+I219+L219+O219+R219+U219+AA219+X219</f>
        <v>7695</v>
      </c>
      <c r="D219" s="260">
        <f t="shared" ref="D219" si="278">G219+J219+M219+P219+S219+V219+AB219+Y219</f>
        <v>7695</v>
      </c>
      <c r="E219" s="260"/>
      <c r="F219" s="260"/>
      <c r="G219" s="260">
        <f t="shared" ref="G219" si="279">F219-E219</f>
        <v>0</v>
      </c>
      <c r="H219" s="260"/>
      <c r="I219" s="260"/>
      <c r="J219" s="260">
        <f t="shared" ref="J219" si="280">I219-H219</f>
        <v>0</v>
      </c>
      <c r="K219" s="260"/>
      <c r="L219" s="260">
        <v>7695</v>
      </c>
      <c r="M219" s="260">
        <f t="shared" ref="M219" si="281">L219-K219</f>
        <v>7695</v>
      </c>
      <c r="N219" s="260"/>
      <c r="O219" s="260"/>
      <c r="P219" s="260">
        <f t="shared" ref="P219" si="282">O219-N219</f>
        <v>0</v>
      </c>
      <c r="Q219" s="260"/>
      <c r="R219" s="260"/>
      <c r="S219" s="260">
        <f t="shared" ref="S219" si="283">R219-Q219</f>
        <v>0</v>
      </c>
      <c r="T219" s="260"/>
      <c r="U219" s="260"/>
      <c r="V219" s="260">
        <f t="shared" ref="V219" si="284">U219-T219</f>
        <v>0</v>
      </c>
      <c r="W219" s="260"/>
      <c r="X219" s="260"/>
      <c r="Y219" s="260">
        <f t="shared" ref="Y219" si="285">X219-W219</f>
        <v>0</v>
      </c>
      <c r="Z219" s="260"/>
      <c r="AA219" s="260"/>
      <c r="AB219" s="260">
        <f t="shared" ref="AB219" si="286">AA219-Z219</f>
        <v>0</v>
      </c>
      <c r="AC219" s="254"/>
      <c r="AD219" s="254"/>
      <c r="AE219" s="254"/>
      <c r="AF219" s="254"/>
      <c r="AG219" s="254"/>
      <c r="AH219" s="254"/>
      <c r="AI219" s="254"/>
      <c r="AJ219" s="254"/>
      <c r="AK219" s="254"/>
      <c r="AL219" s="254"/>
      <c r="AM219" s="254"/>
      <c r="AN219" s="254"/>
      <c r="AO219" s="254"/>
      <c r="AP219" s="254"/>
      <c r="AQ219" s="254"/>
      <c r="AR219" s="254"/>
      <c r="AS219" s="254"/>
      <c r="AT219" s="254"/>
      <c r="AU219" s="254"/>
      <c r="AV219" s="254"/>
      <c r="AW219" s="254"/>
      <c r="AX219" s="254"/>
      <c r="AY219" s="254"/>
      <c r="AZ219" s="254"/>
      <c r="BA219" s="254"/>
      <c r="BB219" s="254"/>
      <c r="BC219" s="254"/>
      <c r="BD219" s="254"/>
      <c r="BE219" s="254"/>
      <c r="BF219" s="254"/>
      <c r="BG219" s="254"/>
      <c r="BH219" s="254"/>
      <c r="BI219" s="254"/>
      <c r="BJ219" s="254"/>
      <c r="BK219" s="254"/>
      <c r="BL219" s="254"/>
      <c r="BM219" s="254"/>
      <c r="BN219" s="254"/>
      <c r="BO219" s="254"/>
      <c r="BP219" s="254"/>
      <c r="BQ219" s="254"/>
      <c r="BR219" s="254"/>
      <c r="BS219" s="254"/>
      <c r="BT219" s="254"/>
      <c r="BU219" s="254"/>
      <c r="BV219" s="254"/>
      <c r="BW219" s="254"/>
      <c r="BX219" s="254"/>
      <c r="BY219" s="254"/>
      <c r="BZ219" s="254"/>
      <c r="CA219" s="254"/>
      <c r="CB219" s="254"/>
      <c r="CC219" s="254"/>
      <c r="CD219" s="254"/>
      <c r="CE219" s="254"/>
      <c r="CF219" s="254"/>
      <c r="CG219" s="254"/>
      <c r="CH219" s="254"/>
      <c r="CI219" s="254"/>
      <c r="CJ219" s="254"/>
      <c r="CK219" s="254"/>
      <c r="CL219" s="254"/>
      <c r="CM219" s="254"/>
      <c r="CN219" s="254"/>
      <c r="CO219" s="254"/>
      <c r="CP219" s="254"/>
      <c r="CQ219" s="254"/>
      <c r="CR219" s="254"/>
      <c r="CS219" s="254"/>
      <c r="CT219" s="254"/>
      <c r="CU219" s="254"/>
      <c r="CV219" s="254"/>
      <c r="CW219" s="254"/>
      <c r="CX219" s="254"/>
      <c r="CY219" s="254"/>
      <c r="CZ219" s="254"/>
      <c r="DA219" s="254"/>
      <c r="DB219" s="254"/>
      <c r="DC219" s="254"/>
      <c r="DD219" s="254"/>
      <c r="DE219" s="254"/>
      <c r="DF219" s="254"/>
      <c r="DG219" s="254"/>
      <c r="DH219" s="254"/>
      <c r="DI219" s="254"/>
      <c r="DJ219" s="254"/>
      <c r="DK219" s="254"/>
      <c r="DL219" s="254"/>
      <c r="DM219" s="254"/>
      <c r="DN219" s="254"/>
      <c r="DO219" s="254"/>
      <c r="DP219" s="254"/>
      <c r="DQ219" s="254"/>
      <c r="DR219" s="254"/>
      <c r="DS219" s="254"/>
      <c r="DT219" s="254"/>
      <c r="DU219" s="254"/>
      <c r="DV219" s="254"/>
      <c r="DW219" s="254"/>
      <c r="DX219" s="254"/>
      <c r="DY219" s="254"/>
      <c r="DZ219" s="254"/>
      <c r="EA219" s="254"/>
      <c r="EB219" s="254"/>
      <c r="EC219" s="254"/>
      <c r="ED219" s="254"/>
      <c r="EE219" s="254"/>
      <c r="EF219" s="254"/>
      <c r="EG219" s="254"/>
      <c r="EH219" s="254"/>
      <c r="EI219" s="254"/>
      <c r="EJ219" s="254"/>
      <c r="EK219" s="254"/>
      <c r="EL219" s="254"/>
      <c r="EM219" s="254"/>
      <c r="EN219" s="254"/>
      <c r="EO219" s="254"/>
      <c r="EP219" s="254"/>
      <c r="EQ219" s="254"/>
      <c r="ER219" s="254"/>
      <c r="ES219" s="254"/>
      <c r="ET219" s="254"/>
      <c r="EU219" s="254"/>
      <c r="EV219" s="254"/>
      <c r="EW219" s="254"/>
      <c r="EX219" s="254"/>
      <c r="EY219" s="254"/>
      <c r="EZ219" s="254"/>
      <c r="FA219" s="254"/>
      <c r="FB219" s="254"/>
      <c r="FC219" s="254"/>
      <c r="FD219" s="254"/>
      <c r="FE219" s="254"/>
      <c r="FF219" s="254"/>
      <c r="FG219" s="254"/>
      <c r="FH219" s="254"/>
      <c r="FI219" s="254"/>
      <c r="FJ219" s="254"/>
      <c r="FK219" s="254"/>
      <c r="FL219" s="254"/>
      <c r="FM219" s="254"/>
      <c r="FN219" s="254"/>
      <c r="FO219" s="254"/>
      <c r="FP219" s="254"/>
      <c r="FQ219" s="254"/>
      <c r="FR219" s="254"/>
      <c r="FS219" s="254"/>
      <c r="FT219" s="254"/>
      <c r="FU219" s="254"/>
      <c r="FV219" s="254"/>
      <c r="FW219" s="254"/>
      <c r="FX219" s="254"/>
      <c r="FY219" s="254"/>
      <c r="FZ219" s="254"/>
      <c r="GA219" s="254"/>
      <c r="GB219" s="254"/>
      <c r="GC219" s="254"/>
      <c r="GD219" s="254"/>
      <c r="GE219" s="254"/>
      <c r="GF219" s="254"/>
      <c r="GG219" s="254"/>
    </row>
    <row r="220" spans="1:189" s="251" customFormat="1" ht="31.5" x14ac:dyDescent="0.25">
      <c r="A220" s="259" t="s">
        <v>402</v>
      </c>
      <c r="B220" s="260">
        <f t="shared" si="111"/>
        <v>2347</v>
      </c>
      <c r="C220" s="260">
        <f t="shared" si="111"/>
        <v>2347</v>
      </c>
      <c r="D220" s="260">
        <f t="shared" si="111"/>
        <v>0</v>
      </c>
      <c r="E220" s="260"/>
      <c r="F220" s="260"/>
      <c r="G220" s="260">
        <f t="shared" si="97"/>
        <v>0</v>
      </c>
      <c r="H220" s="260"/>
      <c r="I220" s="260"/>
      <c r="J220" s="260">
        <f t="shared" si="133"/>
        <v>0</v>
      </c>
      <c r="K220" s="260"/>
      <c r="L220" s="260"/>
      <c r="M220" s="260">
        <f t="shared" si="134"/>
        <v>0</v>
      </c>
      <c r="N220" s="260"/>
      <c r="O220" s="260"/>
      <c r="P220" s="260">
        <f t="shared" si="135"/>
        <v>0</v>
      </c>
      <c r="Q220" s="260">
        <v>2347</v>
      </c>
      <c r="R220" s="260">
        <v>2347</v>
      </c>
      <c r="S220" s="260">
        <f t="shared" si="136"/>
        <v>0</v>
      </c>
      <c r="T220" s="260"/>
      <c r="U220" s="260"/>
      <c r="V220" s="260">
        <f t="shared" si="137"/>
        <v>0</v>
      </c>
      <c r="W220" s="260"/>
      <c r="X220" s="260"/>
      <c r="Y220" s="260">
        <f t="shared" si="264"/>
        <v>0</v>
      </c>
      <c r="Z220" s="260"/>
      <c r="AA220" s="260"/>
      <c r="AB220" s="260">
        <f t="shared" si="139"/>
        <v>0</v>
      </c>
      <c r="AC220" s="254"/>
      <c r="AD220" s="254"/>
      <c r="AE220" s="254"/>
      <c r="AF220" s="254"/>
      <c r="AG220" s="254"/>
      <c r="AH220" s="254"/>
      <c r="AI220" s="254"/>
      <c r="AJ220" s="254"/>
      <c r="AK220" s="254"/>
      <c r="AL220" s="254"/>
      <c r="AM220" s="254"/>
      <c r="AN220" s="254"/>
      <c r="AO220" s="254"/>
      <c r="AP220" s="254"/>
      <c r="AQ220" s="254"/>
      <c r="AR220" s="254"/>
      <c r="AS220" s="254"/>
      <c r="AT220" s="254"/>
      <c r="AU220" s="254"/>
      <c r="AV220" s="254"/>
      <c r="AW220" s="254"/>
      <c r="AX220" s="254"/>
      <c r="AY220" s="254"/>
      <c r="AZ220" s="254"/>
      <c r="BA220" s="254"/>
      <c r="BB220" s="254"/>
      <c r="BC220" s="254"/>
      <c r="BD220" s="254"/>
      <c r="BE220" s="254"/>
      <c r="BF220" s="254"/>
      <c r="BG220" s="254"/>
      <c r="BH220" s="254"/>
      <c r="BI220" s="254"/>
      <c r="BJ220" s="254"/>
      <c r="BK220" s="254"/>
      <c r="BL220" s="254"/>
      <c r="BM220" s="254"/>
      <c r="BN220" s="254"/>
      <c r="BO220" s="254"/>
      <c r="BP220" s="254"/>
      <c r="BQ220" s="254"/>
      <c r="BR220" s="254"/>
      <c r="BS220" s="254"/>
      <c r="BT220" s="254"/>
      <c r="BU220" s="254"/>
      <c r="BV220" s="254"/>
      <c r="BW220" s="254"/>
      <c r="BX220" s="254"/>
      <c r="BY220" s="254"/>
      <c r="BZ220" s="254"/>
      <c r="CA220" s="254"/>
      <c r="CB220" s="254"/>
      <c r="CC220" s="254"/>
      <c r="CD220" s="254"/>
      <c r="CE220" s="254"/>
      <c r="CF220" s="254"/>
      <c r="CG220" s="254"/>
      <c r="CH220" s="254"/>
      <c r="CI220" s="254"/>
      <c r="CJ220" s="254"/>
      <c r="CK220" s="254"/>
      <c r="CL220" s="254"/>
      <c r="CM220" s="254"/>
      <c r="CN220" s="254"/>
      <c r="CO220" s="254"/>
      <c r="CP220" s="254"/>
      <c r="CQ220" s="254"/>
      <c r="CR220" s="254"/>
      <c r="CS220" s="254"/>
      <c r="CT220" s="254"/>
      <c r="CU220" s="254"/>
      <c r="CV220" s="254"/>
      <c r="CW220" s="254"/>
      <c r="CX220" s="254"/>
      <c r="CY220" s="254"/>
      <c r="CZ220" s="254"/>
      <c r="DA220" s="254"/>
      <c r="DB220" s="254"/>
      <c r="DC220" s="254"/>
      <c r="DD220" s="254"/>
      <c r="DE220" s="254"/>
      <c r="DF220" s="254"/>
      <c r="DG220" s="254"/>
      <c r="DH220" s="254"/>
      <c r="DI220" s="254"/>
      <c r="DJ220" s="254"/>
      <c r="DK220" s="254"/>
      <c r="DL220" s="254"/>
      <c r="DM220" s="254"/>
      <c r="DN220" s="254"/>
      <c r="DO220" s="254"/>
      <c r="DP220" s="254"/>
      <c r="DQ220" s="254"/>
      <c r="DR220" s="254"/>
      <c r="DS220" s="254"/>
      <c r="DT220" s="254"/>
      <c r="DU220" s="254"/>
      <c r="DV220" s="254"/>
      <c r="DW220" s="254"/>
      <c r="DX220" s="254"/>
      <c r="DY220" s="254"/>
      <c r="DZ220" s="254"/>
      <c r="EA220" s="254"/>
      <c r="EB220" s="254"/>
      <c r="EC220" s="254"/>
      <c r="ED220" s="254"/>
      <c r="EE220" s="254"/>
      <c r="EF220" s="254"/>
      <c r="EG220" s="254"/>
      <c r="EH220" s="254"/>
      <c r="EI220" s="254"/>
      <c r="EJ220" s="254"/>
      <c r="EK220" s="254"/>
      <c r="EL220" s="254"/>
      <c r="EM220" s="254"/>
      <c r="EN220" s="254"/>
      <c r="EO220" s="254"/>
      <c r="EP220" s="254"/>
      <c r="EQ220" s="254"/>
      <c r="ER220" s="254"/>
      <c r="ES220" s="254"/>
      <c r="ET220" s="254"/>
      <c r="EU220" s="254"/>
      <c r="EV220" s="254"/>
      <c r="EW220" s="254"/>
      <c r="EX220" s="254"/>
      <c r="EY220" s="254"/>
      <c r="EZ220" s="254"/>
      <c r="FA220" s="254"/>
      <c r="FB220" s="254"/>
      <c r="FC220" s="254"/>
      <c r="FD220" s="254"/>
      <c r="FE220" s="254"/>
      <c r="FF220" s="254"/>
      <c r="FG220" s="254"/>
      <c r="FH220" s="254"/>
      <c r="FI220" s="254"/>
      <c r="FJ220" s="254"/>
      <c r="FK220" s="254"/>
      <c r="FL220" s="254"/>
      <c r="FM220" s="254"/>
      <c r="FN220" s="254"/>
      <c r="FO220" s="254"/>
      <c r="FP220" s="254"/>
      <c r="FQ220" s="254"/>
      <c r="FR220" s="254"/>
      <c r="FS220" s="254"/>
      <c r="FT220" s="254"/>
      <c r="FU220" s="254"/>
      <c r="FV220" s="254"/>
      <c r="FW220" s="254"/>
      <c r="FX220" s="254"/>
      <c r="FY220" s="254"/>
      <c r="FZ220" s="254"/>
      <c r="GA220" s="254"/>
      <c r="GB220" s="254"/>
      <c r="GC220" s="254"/>
      <c r="GD220" s="254"/>
      <c r="GE220" s="254"/>
      <c r="GF220" s="254"/>
      <c r="GG220" s="254"/>
    </row>
    <row r="221" spans="1:189" s="251" customFormat="1" x14ac:dyDescent="0.25">
      <c r="A221" s="259" t="s">
        <v>491</v>
      </c>
      <c r="B221" s="260">
        <f t="shared" si="111"/>
        <v>6834</v>
      </c>
      <c r="C221" s="260">
        <f t="shared" si="111"/>
        <v>6834</v>
      </c>
      <c r="D221" s="260">
        <f t="shared" si="111"/>
        <v>0</v>
      </c>
      <c r="E221" s="260"/>
      <c r="F221" s="260"/>
      <c r="G221" s="260">
        <f t="shared" si="97"/>
        <v>0</v>
      </c>
      <c r="H221" s="260"/>
      <c r="I221" s="260"/>
      <c r="J221" s="260">
        <f t="shared" si="133"/>
        <v>0</v>
      </c>
      <c r="K221" s="260">
        <v>6834</v>
      </c>
      <c r="L221" s="260">
        <v>6834</v>
      </c>
      <c r="M221" s="260">
        <f t="shared" si="134"/>
        <v>0</v>
      </c>
      <c r="N221" s="260"/>
      <c r="O221" s="260"/>
      <c r="P221" s="260">
        <f t="shared" si="135"/>
        <v>0</v>
      </c>
      <c r="Q221" s="260"/>
      <c r="R221" s="260"/>
      <c r="S221" s="260">
        <f t="shared" si="136"/>
        <v>0</v>
      </c>
      <c r="T221" s="260"/>
      <c r="U221" s="260"/>
      <c r="V221" s="260">
        <f t="shared" si="137"/>
        <v>0</v>
      </c>
      <c r="W221" s="260"/>
      <c r="X221" s="260"/>
      <c r="Y221" s="260">
        <f t="shared" si="264"/>
        <v>0</v>
      </c>
      <c r="Z221" s="260"/>
      <c r="AA221" s="260"/>
      <c r="AB221" s="260">
        <f t="shared" si="139"/>
        <v>0</v>
      </c>
      <c r="AC221" s="254"/>
      <c r="AD221" s="254"/>
      <c r="AE221" s="254"/>
      <c r="AF221" s="254"/>
      <c r="AG221" s="254"/>
      <c r="AH221" s="254"/>
      <c r="AI221" s="254"/>
      <c r="AJ221" s="254"/>
      <c r="AK221" s="254"/>
      <c r="AL221" s="254"/>
      <c r="AM221" s="254"/>
      <c r="AN221" s="254"/>
      <c r="AO221" s="254"/>
      <c r="AP221" s="254"/>
      <c r="AQ221" s="254"/>
      <c r="AR221" s="254"/>
      <c r="AS221" s="254"/>
      <c r="AT221" s="254"/>
      <c r="AU221" s="254"/>
      <c r="AV221" s="254"/>
      <c r="AW221" s="254"/>
      <c r="AX221" s="254"/>
      <c r="AY221" s="254"/>
      <c r="AZ221" s="254"/>
      <c r="BA221" s="254"/>
      <c r="BB221" s="254"/>
      <c r="BC221" s="254"/>
      <c r="BD221" s="254"/>
      <c r="BE221" s="254"/>
      <c r="BF221" s="254"/>
      <c r="BG221" s="254"/>
      <c r="BH221" s="254"/>
      <c r="BI221" s="254"/>
      <c r="BJ221" s="254"/>
      <c r="BK221" s="254"/>
      <c r="BL221" s="254"/>
      <c r="BM221" s="254"/>
      <c r="BN221" s="254"/>
      <c r="BO221" s="254"/>
      <c r="BP221" s="254"/>
      <c r="BQ221" s="254"/>
      <c r="BR221" s="254"/>
      <c r="BS221" s="254"/>
      <c r="BT221" s="254"/>
      <c r="BU221" s="254"/>
      <c r="BV221" s="254"/>
      <c r="BW221" s="254"/>
      <c r="BX221" s="254"/>
      <c r="BY221" s="254"/>
      <c r="BZ221" s="254"/>
      <c r="CA221" s="254"/>
      <c r="CB221" s="254"/>
      <c r="CC221" s="254"/>
      <c r="CD221" s="254"/>
      <c r="CE221" s="254"/>
      <c r="CF221" s="254"/>
      <c r="CG221" s="254"/>
      <c r="CH221" s="254"/>
      <c r="CI221" s="254"/>
      <c r="CJ221" s="254"/>
      <c r="CK221" s="254"/>
      <c r="CL221" s="254"/>
      <c r="CM221" s="254"/>
      <c r="CN221" s="254"/>
      <c r="CO221" s="254"/>
      <c r="CP221" s="254"/>
      <c r="CQ221" s="254"/>
      <c r="CR221" s="254"/>
      <c r="CS221" s="254"/>
      <c r="CT221" s="254"/>
      <c r="CU221" s="254"/>
      <c r="CV221" s="254"/>
      <c r="CW221" s="254"/>
      <c r="CX221" s="254"/>
      <c r="CY221" s="254"/>
      <c r="CZ221" s="254"/>
      <c r="DA221" s="254"/>
      <c r="DB221" s="254"/>
      <c r="DC221" s="254"/>
      <c r="DD221" s="254"/>
      <c r="DE221" s="254"/>
      <c r="DF221" s="254"/>
      <c r="DG221" s="254"/>
      <c r="DH221" s="254"/>
      <c r="DI221" s="254"/>
      <c r="DJ221" s="254"/>
      <c r="DK221" s="254"/>
      <c r="DL221" s="254"/>
      <c r="DM221" s="254"/>
      <c r="DN221" s="254"/>
      <c r="DO221" s="254"/>
      <c r="DP221" s="254"/>
      <c r="DQ221" s="254"/>
      <c r="DR221" s="254"/>
      <c r="DS221" s="254"/>
      <c r="DT221" s="254"/>
      <c r="DU221" s="254"/>
      <c r="DV221" s="254"/>
      <c r="DW221" s="254"/>
      <c r="DX221" s="254"/>
      <c r="DY221" s="254"/>
      <c r="DZ221" s="254"/>
      <c r="EA221" s="254"/>
      <c r="EB221" s="254"/>
      <c r="EC221" s="254"/>
      <c r="ED221" s="254"/>
      <c r="EE221" s="254"/>
      <c r="EF221" s="254"/>
      <c r="EG221" s="254"/>
      <c r="EH221" s="254"/>
      <c r="EI221" s="254"/>
      <c r="EJ221" s="254"/>
      <c r="EK221" s="254"/>
      <c r="EL221" s="254"/>
      <c r="EM221" s="254"/>
      <c r="EN221" s="254"/>
      <c r="EO221" s="254"/>
      <c r="EP221" s="254"/>
      <c r="EQ221" s="254"/>
      <c r="ER221" s="254"/>
      <c r="ES221" s="254"/>
      <c r="ET221" s="254"/>
      <c r="EU221" s="254"/>
      <c r="EV221" s="254"/>
      <c r="EW221" s="254"/>
      <c r="EX221" s="254"/>
      <c r="EY221" s="254"/>
      <c r="EZ221" s="254"/>
      <c r="FA221" s="254"/>
      <c r="FB221" s="254"/>
      <c r="FC221" s="254"/>
      <c r="FD221" s="254"/>
      <c r="FE221" s="254"/>
      <c r="FF221" s="254"/>
      <c r="FG221" s="254"/>
      <c r="FH221" s="254"/>
      <c r="FI221" s="254"/>
      <c r="FJ221" s="254"/>
      <c r="FK221" s="254"/>
      <c r="FL221" s="254"/>
      <c r="FM221" s="254"/>
      <c r="FN221" s="254"/>
      <c r="FO221" s="254"/>
      <c r="FP221" s="254"/>
      <c r="FQ221" s="254"/>
      <c r="FR221" s="254"/>
      <c r="FS221" s="254"/>
      <c r="FT221" s="254"/>
      <c r="FU221" s="254"/>
      <c r="FV221" s="254"/>
      <c r="FW221" s="254"/>
      <c r="FX221" s="254"/>
      <c r="FY221" s="254"/>
      <c r="FZ221" s="254"/>
      <c r="GA221" s="254"/>
      <c r="GB221" s="254"/>
      <c r="GC221" s="254"/>
      <c r="GD221" s="254"/>
      <c r="GE221" s="254"/>
      <c r="GF221" s="254"/>
      <c r="GG221" s="254"/>
    </row>
    <row r="222" spans="1:189" s="251" customFormat="1" x14ac:dyDescent="0.25">
      <c r="A222" s="259" t="s">
        <v>551</v>
      </c>
      <c r="B222" s="260">
        <f t="shared" si="111"/>
        <v>1798</v>
      </c>
      <c r="C222" s="260">
        <f t="shared" si="111"/>
        <v>2891</v>
      </c>
      <c r="D222" s="260">
        <f t="shared" si="111"/>
        <v>1093</v>
      </c>
      <c r="E222" s="260"/>
      <c r="F222" s="260"/>
      <c r="G222" s="260">
        <f t="shared" si="97"/>
        <v>0</v>
      </c>
      <c r="H222" s="260"/>
      <c r="I222" s="260"/>
      <c r="J222" s="260">
        <f t="shared" si="133"/>
        <v>0</v>
      </c>
      <c r="K222" s="260">
        <v>1798</v>
      </c>
      <c r="L222" s="260">
        <f>1798+1093</f>
        <v>2891</v>
      </c>
      <c r="M222" s="260">
        <f t="shared" si="134"/>
        <v>1093</v>
      </c>
      <c r="N222" s="260"/>
      <c r="O222" s="260"/>
      <c r="P222" s="260">
        <f t="shared" si="135"/>
        <v>0</v>
      </c>
      <c r="Q222" s="260"/>
      <c r="R222" s="260"/>
      <c r="S222" s="260">
        <f t="shared" si="136"/>
        <v>0</v>
      </c>
      <c r="T222" s="260"/>
      <c r="U222" s="260"/>
      <c r="V222" s="260">
        <f t="shared" si="137"/>
        <v>0</v>
      </c>
      <c r="W222" s="260"/>
      <c r="X222" s="260"/>
      <c r="Y222" s="260">
        <f t="shared" si="264"/>
        <v>0</v>
      </c>
      <c r="Z222" s="260"/>
      <c r="AA222" s="260"/>
      <c r="AB222" s="260">
        <f t="shared" si="139"/>
        <v>0</v>
      </c>
      <c r="AC222" s="254"/>
      <c r="AD222" s="254"/>
      <c r="AE222" s="254"/>
      <c r="AF222" s="254"/>
      <c r="AG222" s="254"/>
      <c r="AH222" s="254"/>
      <c r="AI222" s="254"/>
      <c r="AJ222" s="254"/>
      <c r="AK222" s="254"/>
      <c r="AL222" s="254"/>
      <c r="AM222" s="254"/>
      <c r="AN222" s="254"/>
      <c r="AO222" s="254"/>
      <c r="AP222" s="254"/>
      <c r="AQ222" s="254"/>
      <c r="AR222" s="254"/>
      <c r="AS222" s="254"/>
      <c r="AT222" s="254"/>
      <c r="AU222" s="254"/>
      <c r="AV222" s="254"/>
      <c r="AW222" s="254"/>
      <c r="AX222" s="254"/>
      <c r="AY222" s="254"/>
      <c r="AZ222" s="254"/>
      <c r="BA222" s="254"/>
      <c r="BB222" s="254"/>
      <c r="BC222" s="254"/>
      <c r="BD222" s="254"/>
      <c r="BE222" s="254"/>
      <c r="BF222" s="254"/>
      <c r="BG222" s="254"/>
      <c r="BH222" s="254"/>
      <c r="BI222" s="254"/>
      <c r="BJ222" s="254"/>
      <c r="BK222" s="254"/>
      <c r="BL222" s="254"/>
      <c r="BM222" s="254"/>
      <c r="BN222" s="254"/>
      <c r="BO222" s="254"/>
      <c r="BP222" s="254"/>
      <c r="BQ222" s="254"/>
      <c r="BR222" s="254"/>
      <c r="BS222" s="254"/>
      <c r="BT222" s="254"/>
      <c r="BU222" s="254"/>
      <c r="BV222" s="254"/>
      <c r="BW222" s="254"/>
      <c r="BX222" s="254"/>
      <c r="BY222" s="254"/>
      <c r="BZ222" s="254"/>
      <c r="CA222" s="254"/>
      <c r="CB222" s="254"/>
      <c r="CC222" s="254"/>
      <c r="CD222" s="254"/>
      <c r="CE222" s="254"/>
      <c r="CF222" s="254"/>
      <c r="CG222" s="254"/>
      <c r="CH222" s="254"/>
      <c r="CI222" s="254"/>
      <c r="CJ222" s="254"/>
      <c r="CK222" s="254"/>
      <c r="CL222" s="254"/>
      <c r="CM222" s="254"/>
      <c r="CN222" s="254"/>
      <c r="CO222" s="254"/>
      <c r="CP222" s="254"/>
      <c r="CQ222" s="254"/>
      <c r="CR222" s="254"/>
      <c r="CS222" s="254"/>
      <c r="CT222" s="254"/>
      <c r="CU222" s="254"/>
      <c r="CV222" s="254"/>
      <c r="CW222" s="254"/>
      <c r="CX222" s="254"/>
      <c r="CY222" s="254"/>
      <c r="CZ222" s="254"/>
      <c r="DA222" s="254"/>
      <c r="DB222" s="254"/>
      <c r="DC222" s="254"/>
      <c r="DD222" s="254"/>
      <c r="DE222" s="254"/>
      <c r="DF222" s="254"/>
      <c r="DG222" s="254"/>
      <c r="DH222" s="254"/>
      <c r="DI222" s="254"/>
      <c r="DJ222" s="254"/>
      <c r="DK222" s="254"/>
      <c r="DL222" s="254"/>
      <c r="DM222" s="254"/>
      <c r="DN222" s="254"/>
      <c r="DO222" s="254"/>
      <c r="DP222" s="254"/>
      <c r="DQ222" s="254"/>
      <c r="DR222" s="254"/>
      <c r="DS222" s="254"/>
      <c r="DT222" s="254"/>
      <c r="DU222" s="254"/>
      <c r="DV222" s="254"/>
      <c r="DW222" s="254"/>
      <c r="DX222" s="254"/>
      <c r="DY222" s="254"/>
      <c r="DZ222" s="254"/>
      <c r="EA222" s="254"/>
      <c r="EB222" s="254"/>
      <c r="EC222" s="254"/>
      <c r="ED222" s="254"/>
      <c r="EE222" s="254"/>
      <c r="EF222" s="254"/>
      <c r="EG222" s="254"/>
      <c r="EH222" s="254"/>
      <c r="EI222" s="254"/>
      <c r="EJ222" s="254"/>
      <c r="EK222" s="254"/>
      <c r="EL222" s="254"/>
      <c r="EM222" s="254"/>
      <c r="EN222" s="254"/>
      <c r="EO222" s="254"/>
      <c r="EP222" s="254"/>
      <c r="EQ222" s="254"/>
      <c r="ER222" s="254"/>
      <c r="ES222" s="254"/>
      <c r="ET222" s="254"/>
      <c r="EU222" s="254"/>
      <c r="EV222" s="254"/>
      <c r="EW222" s="254"/>
      <c r="EX222" s="254"/>
      <c r="EY222" s="254"/>
      <c r="EZ222" s="254"/>
      <c r="FA222" s="254"/>
      <c r="FB222" s="254"/>
      <c r="FC222" s="254"/>
      <c r="FD222" s="254"/>
      <c r="FE222" s="254"/>
      <c r="FF222" s="254"/>
      <c r="FG222" s="254"/>
      <c r="FH222" s="254"/>
      <c r="FI222" s="254"/>
      <c r="FJ222" s="254"/>
      <c r="FK222" s="254"/>
      <c r="FL222" s="254"/>
      <c r="FM222" s="254"/>
      <c r="FN222" s="254"/>
      <c r="FO222" s="254"/>
      <c r="FP222" s="254"/>
      <c r="FQ222" s="254"/>
      <c r="FR222" s="254"/>
      <c r="FS222" s="254"/>
      <c r="FT222" s="254"/>
      <c r="FU222" s="254"/>
      <c r="FV222" s="254"/>
      <c r="FW222" s="254"/>
      <c r="FX222" s="254"/>
      <c r="FY222" s="254"/>
      <c r="FZ222" s="254"/>
      <c r="GA222" s="254"/>
      <c r="GB222" s="254"/>
      <c r="GC222" s="254"/>
      <c r="GD222" s="254"/>
      <c r="GE222" s="254"/>
      <c r="GF222" s="254"/>
      <c r="GG222" s="254"/>
    </row>
    <row r="223" spans="1:189" s="251" customFormat="1" x14ac:dyDescent="0.25">
      <c r="A223" s="259" t="s">
        <v>401</v>
      </c>
      <c r="B223" s="260">
        <f t="shared" si="111"/>
        <v>3336</v>
      </c>
      <c r="C223" s="260">
        <f t="shared" si="111"/>
        <v>3336</v>
      </c>
      <c r="D223" s="260">
        <f t="shared" si="111"/>
        <v>0</v>
      </c>
      <c r="E223" s="260"/>
      <c r="F223" s="260"/>
      <c r="G223" s="260">
        <f t="shared" si="97"/>
        <v>0</v>
      </c>
      <c r="H223" s="260"/>
      <c r="I223" s="260"/>
      <c r="J223" s="260">
        <f t="shared" si="133"/>
        <v>0</v>
      </c>
      <c r="K223" s="260">
        <v>3336</v>
      </c>
      <c r="L223" s="260">
        <v>3336</v>
      </c>
      <c r="M223" s="260">
        <f t="shared" si="134"/>
        <v>0</v>
      </c>
      <c r="N223" s="260"/>
      <c r="O223" s="260"/>
      <c r="P223" s="260">
        <f t="shared" si="135"/>
        <v>0</v>
      </c>
      <c r="Q223" s="260"/>
      <c r="R223" s="260"/>
      <c r="S223" s="260">
        <f t="shared" si="136"/>
        <v>0</v>
      </c>
      <c r="T223" s="260"/>
      <c r="U223" s="260"/>
      <c r="V223" s="260">
        <f t="shared" si="137"/>
        <v>0</v>
      </c>
      <c r="W223" s="260"/>
      <c r="X223" s="260"/>
      <c r="Y223" s="260">
        <f t="shared" si="264"/>
        <v>0</v>
      </c>
      <c r="Z223" s="260"/>
      <c r="AA223" s="260"/>
      <c r="AB223" s="260">
        <f t="shared" si="139"/>
        <v>0</v>
      </c>
      <c r="AC223" s="254"/>
      <c r="AD223" s="254"/>
      <c r="AE223" s="254"/>
      <c r="AF223" s="254"/>
      <c r="AG223" s="254"/>
      <c r="AH223" s="254"/>
      <c r="AI223" s="254"/>
      <c r="AJ223" s="254"/>
      <c r="AK223" s="254"/>
      <c r="AL223" s="254"/>
      <c r="AM223" s="254"/>
      <c r="AN223" s="254"/>
      <c r="AO223" s="254"/>
      <c r="AP223" s="254"/>
      <c r="AQ223" s="254"/>
      <c r="AR223" s="254"/>
      <c r="AS223" s="254"/>
      <c r="AT223" s="254"/>
      <c r="AU223" s="254"/>
      <c r="AV223" s="254"/>
      <c r="AW223" s="254"/>
      <c r="AX223" s="254"/>
      <c r="AY223" s="254"/>
      <c r="AZ223" s="254"/>
      <c r="BA223" s="254"/>
      <c r="BB223" s="254"/>
      <c r="BC223" s="254"/>
      <c r="BD223" s="254"/>
      <c r="BE223" s="254"/>
      <c r="BF223" s="254"/>
      <c r="BG223" s="254"/>
      <c r="BH223" s="254"/>
      <c r="BI223" s="254"/>
      <c r="BJ223" s="254"/>
      <c r="BK223" s="254"/>
      <c r="BL223" s="254"/>
      <c r="BM223" s="254"/>
      <c r="BN223" s="254"/>
      <c r="BO223" s="254"/>
      <c r="BP223" s="254"/>
      <c r="BQ223" s="254"/>
      <c r="BR223" s="254"/>
      <c r="BS223" s="254"/>
      <c r="BT223" s="254"/>
      <c r="BU223" s="254"/>
      <c r="BV223" s="254"/>
      <c r="BW223" s="254"/>
      <c r="BX223" s="254"/>
      <c r="BY223" s="254"/>
      <c r="BZ223" s="254"/>
      <c r="CA223" s="254"/>
      <c r="CB223" s="254"/>
      <c r="CC223" s="254"/>
      <c r="CD223" s="254"/>
      <c r="CE223" s="254"/>
      <c r="CF223" s="254"/>
      <c r="CG223" s="254"/>
      <c r="CH223" s="254"/>
      <c r="CI223" s="254"/>
      <c r="CJ223" s="254"/>
      <c r="CK223" s="254"/>
      <c r="CL223" s="254"/>
      <c r="CM223" s="254"/>
      <c r="CN223" s="254"/>
      <c r="CO223" s="254"/>
      <c r="CP223" s="254"/>
      <c r="CQ223" s="254"/>
      <c r="CR223" s="254"/>
      <c r="CS223" s="254"/>
      <c r="CT223" s="254"/>
      <c r="CU223" s="254"/>
      <c r="CV223" s="254"/>
      <c r="CW223" s="254"/>
      <c r="CX223" s="254"/>
      <c r="CY223" s="254"/>
      <c r="CZ223" s="254"/>
      <c r="DA223" s="254"/>
      <c r="DB223" s="254"/>
      <c r="DC223" s="254"/>
      <c r="DD223" s="254"/>
      <c r="DE223" s="254"/>
      <c r="DF223" s="254"/>
      <c r="DG223" s="254"/>
      <c r="DH223" s="254"/>
      <c r="DI223" s="254"/>
      <c r="DJ223" s="254"/>
      <c r="DK223" s="254"/>
      <c r="DL223" s="254"/>
      <c r="DM223" s="254"/>
      <c r="DN223" s="254"/>
      <c r="DO223" s="254"/>
      <c r="DP223" s="254"/>
      <c r="DQ223" s="254"/>
      <c r="DR223" s="254"/>
      <c r="DS223" s="254"/>
      <c r="DT223" s="254"/>
      <c r="DU223" s="254"/>
      <c r="DV223" s="254"/>
      <c r="DW223" s="254"/>
      <c r="DX223" s="254"/>
      <c r="DY223" s="254"/>
      <c r="DZ223" s="254"/>
      <c r="EA223" s="254"/>
      <c r="EB223" s="254"/>
      <c r="EC223" s="254"/>
      <c r="ED223" s="254"/>
      <c r="EE223" s="254"/>
      <c r="EF223" s="254"/>
      <c r="EG223" s="254"/>
      <c r="EH223" s="254"/>
      <c r="EI223" s="254"/>
      <c r="EJ223" s="254"/>
      <c r="EK223" s="254"/>
      <c r="EL223" s="254"/>
      <c r="EM223" s="254"/>
      <c r="EN223" s="254"/>
      <c r="EO223" s="254"/>
      <c r="EP223" s="254"/>
      <c r="EQ223" s="254"/>
      <c r="ER223" s="254"/>
      <c r="ES223" s="254"/>
      <c r="ET223" s="254"/>
      <c r="EU223" s="254"/>
      <c r="EV223" s="254"/>
      <c r="EW223" s="254"/>
      <c r="EX223" s="254"/>
      <c r="EY223" s="254"/>
      <c r="EZ223" s="254"/>
      <c r="FA223" s="254"/>
      <c r="FB223" s="254"/>
      <c r="FC223" s="254"/>
      <c r="FD223" s="254"/>
      <c r="FE223" s="254"/>
      <c r="FF223" s="254"/>
      <c r="FG223" s="254"/>
      <c r="FH223" s="254"/>
      <c r="FI223" s="254"/>
      <c r="FJ223" s="254"/>
      <c r="FK223" s="254"/>
      <c r="FL223" s="254"/>
      <c r="FM223" s="254"/>
      <c r="FN223" s="254"/>
      <c r="FO223" s="254"/>
      <c r="FP223" s="254"/>
      <c r="FQ223" s="254"/>
      <c r="FR223" s="254"/>
      <c r="FS223" s="254"/>
      <c r="FT223" s="254"/>
      <c r="FU223" s="254"/>
      <c r="FV223" s="254"/>
      <c r="FW223" s="254"/>
      <c r="FX223" s="254"/>
      <c r="FY223" s="254"/>
      <c r="FZ223" s="254"/>
      <c r="GA223" s="254"/>
      <c r="GB223" s="254"/>
      <c r="GC223" s="254"/>
      <c r="GD223" s="254"/>
      <c r="GE223" s="254"/>
      <c r="GF223" s="254"/>
      <c r="GG223" s="254"/>
    </row>
    <row r="224" spans="1:189" s="251" customFormat="1" ht="31.5" x14ac:dyDescent="0.25">
      <c r="A224" s="259" t="s">
        <v>505</v>
      </c>
      <c r="B224" s="260">
        <f t="shared" si="111"/>
        <v>4219</v>
      </c>
      <c r="C224" s="260">
        <f t="shared" si="111"/>
        <v>4219</v>
      </c>
      <c r="D224" s="260">
        <f t="shared" si="111"/>
        <v>0</v>
      </c>
      <c r="E224" s="260"/>
      <c r="F224" s="260"/>
      <c r="G224" s="260">
        <f t="shared" si="97"/>
        <v>0</v>
      </c>
      <c r="H224" s="260"/>
      <c r="I224" s="260"/>
      <c r="J224" s="260">
        <f t="shared" si="133"/>
        <v>0</v>
      </c>
      <c r="K224" s="260">
        <v>4219</v>
      </c>
      <c r="L224" s="260">
        <v>4219</v>
      </c>
      <c r="M224" s="260">
        <f t="shared" si="134"/>
        <v>0</v>
      </c>
      <c r="N224" s="260"/>
      <c r="O224" s="260"/>
      <c r="P224" s="260">
        <f t="shared" si="135"/>
        <v>0</v>
      </c>
      <c r="Q224" s="260"/>
      <c r="R224" s="260"/>
      <c r="S224" s="260">
        <f t="shared" si="136"/>
        <v>0</v>
      </c>
      <c r="T224" s="260"/>
      <c r="U224" s="260"/>
      <c r="V224" s="260">
        <f t="shared" si="137"/>
        <v>0</v>
      </c>
      <c r="W224" s="260"/>
      <c r="X224" s="260"/>
      <c r="Y224" s="260">
        <f t="shared" si="264"/>
        <v>0</v>
      </c>
      <c r="Z224" s="260"/>
      <c r="AA224" s="260"/>
      <c r="AB224" s="260">
        <f t="shared" si="139"/>
        <v>0</v>
      </c>
      <c r="AC224" s="254"/>
      <c r="AD224" s="254"/>
      <c r="AE224" s="254"/>
      <c r="AF224" s="254"/>
      <c r="AG224" s="254"/>
      <c r="AH224" s="254"/>
      <c r="AI224" s="254"/>
      <c r="AJ224" s="254"/>
      <c r="AK224" s="254"/>
      <c r="AL224" s="254"/>
      <c r="AM224" s="254"/>
      <c r="AN224" s="254"/>
      <c r="AO224" s="254"/>
      <c r="AP224" s="254"/>
      <c r="AQ224" s="254"/>
      <c r="AR224" s="254"/>
      <c r="AS224" s="254"/>
      <c r="AT224" s="254"/>
      <c r="AU224" s="254"/>
      <c r="AV224" s="254"/>
      <c r="AW224" s="254"/>
      <c r="AX224" s="254"/>
      <c r="AY224" s="254"/>
      <c r="AZ224" s="254"/>
      <c r="BA224" s="254"/>
      <c r="BB224" s="254"/>
      <c r="BC224" s="254"/>
      <c r="BD224" s="254"/>
      <c r="BE224" s="254"/>
      <c r="BF224" s="254"/>
      <c r="BG224" s="254"/>
      <c r="BH224" s="254"/>
      <c r="BI224" s="254"/>
      <c r="BJ224" s="254"/>
      <c r="BK224" s="254"/>
      <c r="BL224" s="254"/>
      <c r="BM224" s="254"/>
      <c r="BN224" s="254"/>
      <c r="BO224" s="254"/>
      <c r="BP224" s="254"/>
      <c r="BQ224" s="254"/>
      <c r="BR224" s="254"/>
      <c r="BS224" s="254"/>
      <c r="BT224" s="254"/>
      <c r="BU224" s="254"/>
      <c r="BV224" s="254"/>
      <c r="BW224" s="254"/>
      <c r="BX224" s="254"/>
      <c r="BY224" s="254"/>
      <c r="BZ224" s="254"/>
      <c r="CA224" s="254"/>
      <c r="CB224" s="254"/>
      <c r="CC224" s="254"/>
      <c r="CD224" s="254"/>
      <c r="CE224" s="254"/>
      <c r="CF224" s="254"/>
      <c r="CG224" s="254"/>
      <c r="CH224" s="254"/>
      <c r="CI224" s="254"/>
      <c r="CJ224" s="254"/>
      <c r="CK224" s="254"/>
      <c r="CL224" s="254"/>
      <c r="CM224" s="254"/>
      <c r="CN224" s="254"/>
      <c r="CO224" s="254"/>
      <c r="CP224" s="254"/>
      <c r="CQ224" s="254"/>
      <c r="CR224" s="254"/>
      <c r="CS224" s="254"/>
      <c r="CT224" s="254"/>
      <c r="CU224" s="254"/>
      <c r="CV224" s="254"/>
      <c r="CW224" s="254"/>
      <c r="CX224" s="254"/>
      <c r="CY224" s="254"/>
      <c r="CZ224" s="254"/>
      <c r="DA224" s="254"/>
      <c r="DB224" s="254"/>
      <c r="DC224" s="254"/>
      <c r="DD224" s="254"/>
      <c r="DE224" s="254"/>
      <c r="DF224" s="254"/>
      <c r="DG224" s="254"/>
      <c r="DH224" s="254"/>
      <c r="DI224" s="254"/>
      <c r="DJ224" s="254"/>
      <c r="DK224" s="254"/>
      <c r="DL224" s="254"/>
      <c r="DM224" s="254"/>
      <c r="DN224" s="254"/>
      <c r="DO224" s="254"/>
      <c r="DP224" s="254"/>
      <c r="DQ224" s="254"/>
      <c r="DR224" s="254"/>
      <c r="DS224" s="254"/>
      <c r="DT224" s="254"/>
      <c r="DU224" s="254"/>
      <c r="DV224" s="254"/>
      <c r="DW224" s="254"/>
      <c r="DX224" s="254"/>
      <c r="DY224" s="254"/>
      <c r="DZ224" s="254"/>
      <c r="EA224" s="254"/>
      <c r="EB224" s="254"/>
      <c r="EC224" s="254"/>
      <c r="ED224" s="254"/>
      <c r="EE224" s="254"/>
      <c r="EF224" s="254"/>
      <c r="EG224" s="254"/>
      <c r="EH224" s="254"/>
      <c r="EI224" s="254"/>
      <c r="EJ224" s="254"/>
      <c r="EK224" s="254"/>
      <c r="EL224" s="254"/>
      <c r="EM224" s="254"/>
      <c r="EN224" s="254"/>
      <c r="EO224" s="254"/>
      <c r="EP224" s="254"/>
      <c r="EQ224" s="254"/>
      <c r="ER224" s="254"/>
      <c r="ES224" s="254"/>
      <c r="ET224" s="254"/>
      <c r="EU224" s="254"/>
      <c r="EV224" s="254"/>
      <c r="EW224" s="254"/>
      <c r="EX224" s="254"/>
      <c r="EY224" s="254"/>
      <c r="EZ224" s="254"/>
      <c r="FA224" s="254"/>
      <c r="FB224" s="254"/>
      <c r="FC224" s="254"/>
      <c r="FD224" s="254"/>
      <c r="FE224" s="254"/>
      <c r="FF224" s="254"/>
      <c r="FG224" s="254"/>
      <c r="FH224" s="254"/>
      <c r="FI224" s="254"/>
      <c r="FJ224" s="254"/>
      <c r="FK224" s="254"/>
      <c r="FL224" s="254"/>
      <c r="FM224" s="254"/>
      <c r="FN224" s="254"/>
      <c r="FO224" s="254"/>
      <c r="FP224" s="254"/>
      <c r="FQ224" s="254"/>
      <c r="FR224" s="254"/>
      <c r="FS224" s="254"/>
      <c r="FT224" s="254"/>
      <c r="FU224" s="254"/>
      <c r="FV224" s="254"/>
      <c r="FW224" s="254"/>
      <c r="FX224" s="254"/>
      <c r="FY224" s="254"/>
      <c r="FZ224" s="254"/>
      <c r="GA224" s="254"/>
      <c r="GB224" s="254"/>
      <c r="GC224" s="254"/>
      <c r="GD224" s="254"/>
      <c r="GE224" s="254"/>
      <c r="GF224" s="254"/>
      <c r="GG224" s="254"/>
    </row>
    <row r="225" spans="1:189" s="251" customFormat="1" x14ac:dyDescent="0.25">
      <c r="A225" s="259" t="s">
        <v>239</v>
      </c>
      <c r="B225" s="260">
        <f t="shared" si="111"/>
        <v>2600</v>
      </c>
      <c r="C225" s="260">
        <f t="shared" si="111"/>
        <v>2600</v>
      </c>
      <c r="D225" s="260">
        <f t="shared" si="111"/>
        <v>0</v>
      </c>
      <c r="E225" s="260"/>
      <c r="F225" s="260"/>
      <c r="G225" s="260">
        <f t="shared" si="97"/>
        <v>0</v>
      </c>
      <c r="H225" s="260"/>
      <c r="I225" s="260"/>
      <c r="J225" s="260">
        <f t="shared" si="133"/>
        <v>0</v>
      </c>
      <c r="K225" s="260"/>
      <c r="L225" s="260"/>
      <c r="M225" s="260">
        <f t="shared" si="134"/>
        <v>0</v>
      </c>
      <c r="N225" s="260"/>
      <c r="O225" s="260"/>
      <c r="P225" s="260">
        <f t="shared" si="135"/>
        <v>0</v>
      </c>
      <c r="Q225" s="260">
        <v>2600</v>
      </c>
      <c r="R225" s="260">
        <v>2600</v>
      </c>
      <c r="S225" s="260">
        <f t="shared" si="136"/>
        <v>0</v>
      </c>
      <c r="T225" s="260"/>
      <c r="U225" s="260"/>
      <c r="V225" s="260">
        <f t="shared" si="137"/>
        <v>0</v>
      </c>
      <c r="W225" s="260"/>
      <c r="X225" s="260"/>
      <c r="Y225" s="260">
        <f t="shared" si="138"/>
        <v>0</v>
      </c>
      <c r="Z225" s="260"/>
      <c r="AA225" s="260"/>
      <c r="AB225" s="260">
        <f t="shared" si="139"/>
        <v>0</v>
      </c>
      <c r="AC225" s="254"/>
      <c r="AD225" s="254"/>
      <c r="AE225" s="254"/>
      <c r="AF225" s="254"/>
      <c r="AG225" s="254"/>
      <c r="AH225" s="254"/>
      <c r="AI225" s="254"/>
      <c r="AJ225" s="254"/>
      <c r="AK225" s="254"/>
      <c r="AL225" s="254"/>
      <c r="AM225" s="254"/>
      <c r="AN225" s="254"/>
      <c r="AO225" s="254"/>
      <c r="AP225" s="254"/>
      <c r="AQ225" s="254"/>
      <c r="AR225" s="254"/>
      <c r="AS225" s="254"/>
      <c r="AT225" s="254"/>
      <c r="AU225" s="254"/>
      <c r="AV225" s="254"/>
      <c r="AW225" s="254"/>
      <c r="AX225" s="254"/>
      <c r="AY225" s="254"/>
      <c r="AZ225" s="254"/>
      <c r="BA225" s="254"/>
      <c r="BB225" s="254"/>
      <c r="BC225" s="254"/>
      <c r="BD225" s="254"/>
      <c r="BE225" s="254"/>
      <c r="BF225" s="254"/>
      <c r="BG225" s="254"/>
      <c r="BH225" s="254"/>
      <c r="BI225" s="254"/>
      <c r="BJ225" s="254"/>
      <c r="BK225" s="254"/>
      <c r="BL225" s="254"/>
      <c r="BM225" s="254"/>
      <c r="BN225" s="254"/>
      <c r="BO225" s="254"/>
      <c r="BP225" s="254"/>
      <c r="BQ225" s="254"/>
      <c r="BR225" s="254"/>
      <c r="BS225" s="254"/>
      <c r="BT225" s="254"/>
      <c r="BU225" s="254"/>
      <c r="BV225" s="254"/>
      <c r="BW225" s="254"/>
      <c r="BX225" s="254"/>
      <c r="BY225" s="254"/>
      <c r="BZ225" s="254"/>
      <c r="CA225" s="254"/>
      <c r="CB225" s="254"/>
      <c r="CC225" s="254"/>
      <c r="CD225" s="254"/>
      <c r="CE225" s="254"/>
      <c r="CF225" s="254"/>
      <c r="CG225" s="254"/>
      <c r="CH225" s="254"/>
      <c r="CI225" s="254"/>
      <c r="CJ225" s="254"/>
      <c r="CK225" s="254"/>
      <c r="CL225" s="254"/>
      <c r="CM225" s="254"/>
      <c r="CN225" s="254"/>
      <c r="CO225" s="254"/>
      <c r="CP225" s="254"/>
      <c r="CQ225" s="254"/>
      <c r="CR225" s="254"/>
      <c r="CS225" s="254"/>
      <c r="CT225" s="254"/>
      <c r="CU225" s="254"/>
      <c r="CV225" s="254"/>
      <c r="CW225" s="254"/>
      <c r="CX225" s="254"/>
      <c r="CY225" s="254"/>
      <c r="CZ225" s="254"/>
      <c r="DA225" s="254"/>
      <c r="DB225" s="254"/>
      <c r="DC225" s="254"/>
      <c r="DD225" s="254"/>
      <c r="DE225" s="254"/>
      <c r="DF225" s="254"/>
      <c r="DG225" s="254"/>
      <c r="DH225" s="254"/>
      <c r="DI225" s="254"/>
      <c r="DJ225" s="254"/>
      <c r="DK225" s="254"/>
      <c r="DL225" s="254"/>
      <c r="DM225" s="254"/>
      <c r="DN225" s="254"/>
      <c r="DO225" s="254"/>
      <c r="DP225" s="254"/>
      <c r="DQ225" s="254"/>
      <c r="DR225" s="254"/>
      <c r="DS225" s="254"/>
      <c r="DT225" s="254"/>
      <c r="DU225" s="254"/>
      <c r="DV225" s="254"/>
      <c r="DW225" s="254"/>
      <c r="DX225" s="254"/>
      <c r="DY225" s="254"/>
      <c r="DZ225" s="254"/>
      <c r="EA225" s="254"/>
      <c r="EB225" s="254"/>
      <c r="EC225" s="254"/>
      <c r="ED225" s="254"/>
      <c r="EE225" s="254"/>
      <c r="EF225" s="254"/>
      <c r="EG225" s="254"/>
      <c r="EH225" s="254"/>
      <c r="EI225" s="254"/>
      <c r="EJ225" s="254"/>
      <c r="EK225" s="254"/>
      <c r="EL225" s="254"/>
      <c r="EM225" s="254"/>
      <c r="EN225" s="254"/>
      <c r="EO225" s="254"/>
      <c r="EP225" s="254"/>
      <c r="EQ225" s="254"/>
      <c r="ER225" s="254"/>
      <c r="ES225" s="254"/>
      <c r="ET225" s="254"/>
      <c r="EU225" s="254"/>
      <c r="EV225" s="254"/>
      <c r="EW225" s="254"/>
      <c r="EX225" s="254"/>
      <c r="EY225" s="254"/>
      <c r="EZ225" s="254"/>
      <c r="FA225" s="254"/>
      <c r="FB225" s="254"/>
      <c r="FC225" s="254"/>
      <c r="FD225" s="254"/>
      <c r="FE225" s="254"/>
      <c r="FF225" s="254"/>
      <c r="FG225" s="254"/>
      <c r="FH225" s="254"/>
      <c r="FI225" s="254"/>
      <c r="FJ225" s="254"/>
      <c r="FK225" s="254"/>
      <c r="FL225" s="254"/>
      <c r="FM225" s="254"/>
      <c r="FN225" s="254"/>
      <c r="FO225" s="254"/>
      <c r="FP225" s="254"/>
      <c r="FQ225" s="254"/>
      <c r="FR225" s="254"/>
      <c r="FS225" s="254"/>
      <c r="FT225" s="254"/>
      <c r="FU225" s="254"/>
      <c r="FV225" s="254"/>
      <c r="FW225" s="254"/>
      <c r="FX225" s="254"/>
      <c r="FY225" s="254"/>
      <c r="FZ225" s="254"/>
      <c r="GA225" s="254"/>
      <c r="GB225" s="254"/>
      <c r="GC225" s="254"/>
      <c r="GD225" s="254"/>
      <c r="GE225" s="254"/>
      <c r="GF225" s="254"/>
      <c r="GG225" s="254"/>
    </row>
    <row r="226" spans="1:189" s="251" customFormat="1" ht="31.5" x14ac:dyDescent="0.25">
      <c r="A226" s="259" t="s">
        <v>241</v>
      </c>
      <c r="B226" s="260">
        <f t="shared" si="111"/>
        <v>44571</v>
      </c>
      <c r="C226" s="260">
        <f t="shared" si="111"/>
        <v>44571</v>
      </c>
      <c r="D226" s="260">
        <f t="shared" si="111"/>
        <v>0</v>
      </c>
      <c r="E226" s="260"/>
      <c r="F226" s="260"/>
      <c r="G226" s="260">
        <f t="shared" si="97"/>
        <v>0</v>
      </c>
      <c r="H226" s="260"/>
      <c r="I226" s="260"/>
      <c r="J226" s="260">
        <f t="shared" si="133"/>
        <v>0</v>
      </c>
      <c r="K226" s="260"/>
      <c r="L226" s="260"/>
      <c r="M226" s="260">
        <f t="shared" si="134"/>
        <v>0</v>
      </c>
      <c r="N226" s="260"/>
      <c r="O226" s="260"/>
      <c r="P226" s="260">
        <f t="shared" si="135"/>
        <v>0</v>
      </c>
      <c r="Q226" s="260">
        <f>21490+20079+3002</f>
        <v>44571</v>
      </c>
      <c r="R226" s="260">
        <f>21490+20079+3002</f>
        <v>44571</v>
      </c>
      <c r="S226" s="260">
        <f t="shared" si="136"/>
        <v>0</v>
      </c>
      <c r="T226" s="260"/>
      <c r="U226" s="260"/>
      <c r="V226" s="260">
        <f t="shared" si="137"/>
        <v>0</v>
      </c>
      <c r="W226" s="260"/>
      <c r="X226" s="260"/>
      <c r="Y226" s="260">
        <f t="shared" si="138"/>
        <v>0</v>
      </c>
      <c r="Z226" s="260"/>
      <c r="AA226" s="260"/>
      <c r="AB226" s="260">
        <f t="shared" si="139"/>
        <v>0</v>
      </c>
      <c r="AC226" s="254"/>
      <c r="AD226" s="254"/>
      <c r="AE226" s="254"/>
      <c r="AF226" s="254"/>
      <c r="AG226" s="254"/>
      <c r="AH226" s="254"/>
      <c r="AI226" s="254"/>
      <c r="AJ226" s="254"/>
      <c r="AK226" s="254"/>
      <c r="AL226" s="254"/>
      <c r="AM226" s="254"/>
      <c r="AN226" s="254"/>
      <c r="AO226" s="254"/>
      <c r="AP226" s="254"/>
      <c r="AQ226" s="254"/>
      <c r="AR226" s="254"/>
      <c r="AS226" s="254"/>
      <c r="AT226" s="254"/>
      <c r="AU226" s="254"/>
      <c r="AV226" s="254"/>
      <c r="AW226" s="254"/>
      <c r="AX226" s="254"/>
      <c r="AY226" s="254"/>
      <c r="AZ226" s="254"/>
      <c r="BA226" s="254"/>
      <c r="BB226" s="254"/>
      <c r="BC226" s="254"/>
      <c r="BD226" s="254"/>
      <c r="BE226" s="254"/>
      <c r="BF226" s="254"/>
      <c r="BG226" s="254"/>
      <c r="BH226" s="254"/>
      <c r="BI226" s="254"/>
      <c r="BJ226" s="254"/>
      <c r="BK226" s="254"/>
      <c r="BL226" s="254"/>
      <c r="BM226" s="254"/>
      <c r="BN226" s="254"/>
      <c r="BO226" s="254"/>
      <c r="BP226" s="254"/>
      <c r="BQ226" s="254"/>
      <c r="BR226" s="254"/>
      <c r="BS226" s="254"/>
      <c r="BT226" s="254"/>
      <c r="BU226" s="254"/>
      <c r="BV226" s="254"/>
      <c r="BW226" s="254"/>
      <c r="BX226" s="254"/>
      <c r="BY226" s="254"/>
      <c r="BZ226" s="254"/>
      <c r="CA226" s="254"/>
      <c r="CB226" s="254"/>
      <c r="CC226" s="254"/>
      <c r="CD226" s="254"/>
      <c r="CE226" s="254"/>
      <c r="CF226" s="254"/>
      <c r="CG226" s="254"/>
      <c r="CH226" s="254"/>
      <c r="CI226" s="254"/>
      <c r="CJ226" s="254"/>
      <c r="CK226" s="254"/>
      <c r="CL226" s="254"/>
      <c r="CM226" s="254"/>
      <c r="CN226" s="254"/>
      <c r="CO226" s="254"/>
      <c r="CP226" s="254"/>
      <c r="CQ226" s="254"/>
      <c r="CR226" s="254"/>
      <c r="CS226" s="254"/>
      <c r="CT226" s="254"/>
      <c r="CU226" s="254"/>
      <c r="CV226" s="254"/>
      <c r="CW226" s="254"/>
      <c r="CX226" s="254"/>
      <c r="CY226" s="254"/>
      <c r="CZ226" s="254"/>
      <c r="DA226" s="254"/>
      <c r="DB226" s="254"/>
      <c r="DC226" s="254"/>
      <c r="DD226" s="254"/>
      <c r="DE226" s="254"/>
      <c r="DF226" s="254"/>
      <c r="DG226" s="254"/>
      <c r="DH226" s="254"/>
      <c r="DI226" s="254"/>
      <c r="DJ226" s="254"/>
      <c r="DK226" s="254"/>
      <c r="DL226" s="254"/>
      <c r="DM226" s="254"/>
      <c r="DN226" s="254"/>
      <c r="DO226" s="254"/>
      <c r="DP226" s="254"/>
      <c r="DQ226" s="254"/>
      <c r="DR226" s="254"/>
      <c r="DS226" s="254"/>
      <c r="DT226" s="254"/>
      <c r="DU226" s="254"/>
      <c r="DV226" s="254"/>
      <c r="DW226" s="254"/>
      <c r="DX226" s="254"/>
      <c r="DY226" s="254"/>
      <c r="DZ226" s="254"/>
      <c r="EA226" s="254"/>
      <c r="EB226" s="254"/>
      <c r="EC226" s="254"/>
      <c r="ED226" s="254"/>
      <c r="EE226" s="254"/>
      <c r="EF226" s="254"/>
      <c r="EG226" s="254"/>
      <c r="EH226" s="254"/>
      <c r="EI226" s="254"/>
      <c r="EJ226" s="254"/>
      <c r="EK226" s="254"/>
      <c r="EL226" s="254"/>
      <c r="EM226" s="254"/>
      <c r="EN226" s="254"/>
      <c r="EO226" s="254"/>
      <c r="EP226" s="254"/>
      <c r="EQ226" s="254"/>
      <c r="ER226" s="254"/>
      <c r="ES226" s="254"/>
      <c r="ET226" s="254"/>
      <c r="EU226" s="254"/>
      <c r="EV226" s="254"/>
      <c r="EW226" s="254"/>
      <c r="EX226" s="254"/>
      <c r="EY226" s="254"/>
      <c r="EZ226" s="254"/>
      <c r="FA226" s="254"/>
      <c r="FB226" s="254"/>
      <c r="FC226" s="254"/>
      <c r="FD226" s="254"/>
      <c r="FE226" s="254"/>
      <c r="FF226" s="254"/>
      <c r="FG226" s="254"/>
      <c r="FH226" s="254"/>
      <c r="FI226" s="254"/>
      <c r="FJ226" s="254"/>
      <c r="FK226" s="254"/>
      <c r="FL226" s="254"/>
      <c r="FM226" s="254"/>
      <c r="FN226" s="254"/>
      <c r="FO226" s="254"/>
      <c r="FP226" s="254"/>
      <c r="FQ226" s="254"/>
      <c r="FR226" s="254"/>
      <c r="FS226" s="254"/>
      <c r="FT226" s="254"/>
      <c r="FU226" s="254"/>
      <c r="FV226" s="254"/>
      <c r="FW226" s="254"/>
      <c r="FX226" s="254"/>
      <c r="FY226" s="254"/>
      <c r="FZ226" s="254"/>
      <c r="GA226" s="254"/>
      <c r="GB226" s="254"/>
      <c r="GC226" s="254"/>
      <c r="GD226" s="254"/>
      <c r="GE226" s="254"/>
      <c r="GF226" s="254"/>
      <c r="GG226" s="254"/>
    </row>
    <row r="227" spans="1:189" s="251" customFormat="1" ht="31.5" x14ac:dyDescent="0.25">
      <c r="A227" s="259" t="s">
        <v>242</v>
      </c>
      <c r="B227" s="260">
        <f t="shared" si="111"/>
        <v>2261</v>
      </c>
      <c r="C227" s="260">
        <f t="shared" si="111"/>
        <v>2261</v>
      </c>
      <c r="D227" s="260">
        <f t="shared" si="111"/>
        <v>0</v>
      </c>
      <c r="E227" s="260"/>
      <c r="F227" s="260"/>
      <c r="G227" s="260">
        <f t="shared" si="97"/>
        <v>0</v>
      </c>
      <c r="H227" s="260"/>
      <c r="I227" s="260"/>
      <c r="J227" s="260">
        <f t="shared" si="133"/>
        <v>0</v>
      </c>
      <c r="K227" s="260"/>
      <c r="L227" s="260"/>
      <c r="M227" s="260">
        <f t="shared" si="134"/>
        <v>0</v>
      </c>
      <c r="N227" s="260"/>
      <c r="O227" s="260"/>
      <c r="P227" s="260">
        <f t="shared" si="135"/>
        <v>0</v>
      </c>
      <c r="Q227" s="260">
        <f>834+1427</f>
        <v>2261</v>
      </c>
      <c r="R227" s="260">
        <f>834+1427</f>
        <v>2261</v>
      </c>
      <c r="S227" s="260">
        <f t="shared" si="136"/>
        <v>0</v>
      </c>
      <c r="T227" s="260"/>
      <c r="U227" s="260"/>
      <c r="V227" s="260">
        <f t="shared" si="137"/>
        <v>0</v>
      </c>
      <c r="W227" s="260"/>
      <c r="X227" s="260"/>
      <c r="Y227" s="260">
        <f t="shared" si="138"/>
        <v>0</v>
      </c>
      <c r="Z227" s="260"/>
      <c r="AA227" s="260"/>
      <c r="AB227" s="260">
        <f t="shared" si="139"/>
        <v>0</v>
      </c>
      <c r="AC227" s="254"/>
      <c r="AD227" s="254"/>
      <c r="AE227" s="254"/>
      <c r="AF227" s="254"/>
      <c r="AG227" s="254"/>
      <c r="AH227" s="254"/>
      <c r="AI227" s="254"/>
      <c r="AJ227" s="254"/>
      <c r="AK227" s="254"/>
      <c r="AL227" s="254"/>
      <c r="AM227" s="254"/>
      <c r="AN227" s="254"/>
      <c r="AO227" s="254"/>
      <c r="AP227" s="254"/>
      <c r="AQ227" s="254"/>
      <c r="AR227" s="254"/>
      <c r="AS227" s="254"/>
      <c r="AT227" s="254"/>
      <c r="AU227" s="254"/>
      <c r="AV227" s="254"/>
      <c r="AW227" s="254"/>
      <c r="AX227" s="254"/>
      <c r="AY227" s="254"/>
      <c r="AZ227" s="254"/>
      <c r="BA227" s="254"/>
      <c r="BB227" s="254"/>
      <c r="BC227" s="254"/>
      <c r="BD227" s="254"/>
      <c r="BE227" s="254"/>
      <c r="BF227" s="254"/>
      <c r="BG227" s="254"/>
      <c r="BH227" s="254"/>
      <c r="BI227" s="254"/>
      <c r="BJ227" s="254"/>
      <c r="BK227" s="254"/>
      <c r="BL227" s="254"/>
      <c r="BM227" s="254"/>
      <c r="BN227" s="254"/>
      <c r="BO227" s="254"/>
      <c r="BP227" s="254"/>
      <c r="BQ227" s="254"/>
      <c r="BR227" s="254"/>
      <c r="BS227" s="254"/>
      <c r="BT227" s="254"/>
      <c r="BU227" s="254"/>
      <c r="BV227" s="254"/>
      <c r="BW227" s="254"/>
      <c r="BX227" s="254"/>
      <c r="BY227" s="254"/>
      <c r="BZ227" s="254"/>
      <c r="CA227" s="254"/>
      <c r="CB227" s="254"/>
      <c r="CC227" s="254"/>
      <c r="CD227" s="254"/>
      <c r="CE227" s="254"/>
      <c r="CF227" s="254"/>
      <c r="CG227" s="254"/>
      <c r="CH227" s="254"/>
      <c r="CI227" s="254"/>
      <c r="CJ227" s="254"/>
      <c r="CK227" s="254"/>
      <c r="CL227" s="254"/>
      <c r="CM227" s="254"/>
      <c r="CN227" s="254"/>
      <c r="CO227" s="254"/>
      <c r="CP227" s="254"/>
      <c r="CQ227" s="254"/>
      <c r="CR227" s="254"/>
      <c r="CS227" s="254"/>
      <c r="CT227" s="254"/>
      <c r="CU227" s="254"/>
      <c r="CV227" s="254"/>
      <c r="CW227" s="254"/>
      <c r="CX227" s="254"/>
      <c r="CY227" s="254"/>
      <c r="CZ227" s="254"/>
      <c r="DA227" s="254"/>
      <c r="DB227" s="254"/>
      <c r="DC227" s="254"/>
      <c r="DD227" s="254"/>
      <c r="DE227" s="254"/>
      <c r="DF227" s="254"/>
      <c r="DG227" s="254"/>
      <c r="DH227" s="254"/>
      <c r="DI227" s="254"/>
      <c r="DJ227" s="254"/>
      <c r="DK227" s="254"/>
      <c r="DL227" s="254"/>
      <c r="DM227" s="254"/>
      <c r="DN227" s="254"/>
      <c r="DO227" s="254"/>
      <c r="DP227" s="254"/>
      <c r="DQ227" s="254"/>
      <c r="DR227" s="254"/>
      <c r="DS227" s="254"/>
      <c r="DT227" s="254"/>
      <c r="DU227" s="254"/>
      <c r="DV227" s="254"/>
      <c r="DW227" s="254"/>
      <c r="DX227" s="254"/>
      <c r="DY227" s="254"/>
      <c r="DZ227" s="254"/>
      <c r="EA227" s="254"/>
      <c r="EB227" s="254"/>
      <c r="EC227" s="254"/>
      <c r="ED227" s="254"/>
      <c r="EE227" s="254"/>
      <c r="EF227" s="254"/>
      <c r="EG227" s="254"/>
      <c r="EH227" s="254"/>
      <c r="EI227" s="254"/>
      <c r="EJ227" s="254"/>
      <c r="EK227" s="254"/>
      <c r="EL227" s="254"/>
      <c r="EM227" s="254"/>
      <c r="EN227" s="254"/>
      <c r="EO227" s="254"/>
      <c r="EP227" s="254"/>
      <c r="EQ227" s="254"/>
      <c r="ER227" s="254"/>
      <c r="ES227" s="254"/>
      <c r="ET227" s="254"/>
      <c r="EU227" s="254"/>
      <c r="EV227" s="254"/>
      <c r="EW227" s="254"/>
      <c r="EX227" s="254"/>
      <c r="EY227" s="254"/>
      <c r="EZ227" s="254"/>
      <c r="FA227" s="254"/>
      <c r="FB227" s="254"/>
      <c r="FC227" s="254"/>
      <c r="FD227" s="254"/>
      <c r="FE227" s="254"/>
      <c r="FF227" s="254"/>
      <c r="FG227" s="254"/>
      <c r="FH227" s="254"/>
      <c r="FI227" s="254"/>
      <c r="FJ227" s="254"/>
      <c r="FK227" s="254"/>
      <c r="FL227" s="254"/>
      <c r="FM227" s="254"/>
      <c r="FN227" s="254"/>
      <c r="FO227" s="254"/>
      <c r="FP227" s="254"/>
      <c r="FQ227" s="254"/>
      <c r="FR227" s="254"/>
      <c r="FS227" s="254"/>
      <c r="FT227" s="254"/>
      <c r="FU227" s="254"/>
      <c r="FV227" s="254"/>
      <c r="FW227" s="254"/>
      <c r="FX227" s="254"/>
      <c r="FY227" s="254"/>
      <c r="FZ227" s="254"/>
      <c r="GA227" s="254"/>
      <c r="GB227" s="254"/>
      <c r="GC227" s="254"/>
      <c r="GD227" s="254"/>
      <c r="GE227" s="254"/>
      <c r="GF227" s="254"/>
      <c r="GG227" s="254"/>
    </row>
    <row r="228" spans="1:189" s="251" customFormat="1" ht="47.25" x14ac:dyDescent="0.25">
      <c r="A228" s="259" t="s">
        <v>507</v>
      </c>
      <c r="B228" s="260">
        <f t="shared" si="111"/>
        <v>7366</v>
      </c>
      <c r="C228" s="260">
        <f t="shared" si="111"/>
        <v>7366</v>
      </c>
      <c r="D228" s="260">
        <f t="shared" si="111"/>
        <v>0</v>
      </c>
      <c r="E228" s="260"/>
      <c r="F228" s="260"/>
      <c r="G228" s="260">
        <f t="shared" si="97"/>
        <v>0</v>
      </c>
      <c r="H228" s="260"/>
      <c r="I228" s="260"/>
      <c r="J228" s="260">
        <f t="shared" si="133"/>
        <v>0</v>
      </c>
      <c r="K228" s="260">
        <f>1966+5400</f>
        <v>7366</v>
      </c>
      <c r="L228" s="260">
        <f>1966+5400</f>
        <v>7366</v>
      </c>
      <c r="M228" s="260">
        <f t="shared" si="134"/>
        <v>0</v>
      </c>
      <c r="N228" s="260"/>
      <c r="O228" s="260"/>
      <c r="P228" s="260">
        <f t="shared" si="135"/>
        <v>0</v>
      </c>
      <c r="Q228" s="260"/>
      <c r="R228" s="260"/>
      <c r="S228" s="260">
        <f t="shared" si="136"/>
        <v>0</v>
      </c>
      <c r="T228" s="260"/>
      <c r="U228" s="260"/>
      <c r="V228" s="260">
        <f t="shared" si="137"/>
        <v>0</v>
      </c>
      <c r="W228" s="260"/>
      <c r="X228" s="260"/>
      <c r="Y228" s="260">
        <f t="shared" si="138"/>
        <v>0</v>
      </c>
      <c r="Z228" s="260"/>
      <c r="AA228" s="260"/>
      <c r="AB228" s="260">
        <f t="shared" si="139"/>
        <v>0</v>
      </c>
      <c r="AC228" s="254"/>
      <c r="AD228" s="254"/>
      <c r="AE228" s="254"/>
      <c r="AF228" s="254"/>
      <c r="AG228" s="254"/>
      <c r="AH228" s="254"/>
      <c r="AI228" s="254"/>
      <c r="AJ228" s="254"/>
      <c r="AK228" s="254"/>
      <c r="AL228" s="254"/>
      <c r="AM228" s="254"/>
      <c r="AN228" s="254"/>
      <c r="AO228" s="254"/>
      <c r="AP228" s="254"/>
      <c r="AQ228" s="254"/>
      <c r="AR228" s="254"/>
      <c r="AS228" s="254"/>
      <c r="AT228" s="254"/>
      <c r="AU228" s="254"/>
      <c r="AV228" s="254"/>
      <c r="AW228" s="254"/>
      <c r="AX228" s="254"/>
      <c r="AY228" s="254"/>
      <c r="AZ228" s="254"/>
      <c r="BA228" s="254"/>
      <c r="BB228" s="254"/>
      <c r="BC228" s="254"/>
      <c r="BD228" s="254"/>
      <c r="BE228" s="254"/>
      <c r="BF228" s="254"/>
      <c r="BG228" s="254"/>
      <c r="BH228" s="254"/>
      <c r="BI228" s="254"/>
      <c r="BJ228" s="254"/>
      <c r="BK228" s="254"/>
      <c r="BL228" s="254"/>
      <c r="BM228" s="254"/>
      <c r="BN228" s="254"/>
      <c r="BO228" s="254"/>
      <c r="BP228" s="254"/>
      <c r="BQ228" s="254"/>
      <c r="BR228" s="254"/>
      <c r="BS228" s="254"/>
      <c r="BT228" s="254"/>
      <c r="BU228" s="254"/>
      <c r="BV228" s="254"/>
      <c r="BW228" s="254"/>
      <c r="BX228" s="254"/>
      <c r="BY228" s="254"/>
      <c r="BZ228" s="254"/>
      <c r="CA228" s="254"/>
      <c r="CB228" s="254"/>
      <c r="CC228" s="254"/>
      <c r="CD228" s="254"/>
      <c r="CE228" s="254"/>
      <c r="CF228" s="254"/>
      <c r="CG228" s="254"/>
      <c r="CH228" s="254"/>
      <c r="CI228" s="254"/>
      <c r="CJ228" s="254"/>
      <c r="CK228" s="254"/>
      <c r="CL228" s="254"/>
      <c r="CM228" s="254"/>
      <c r="CN228" s="254"/>
      <c r="CO228" s="254"/>
      <c r="CP228" s="254"/>
      <c r="CQ228" s="254"/>
      <c r="CR228" s="254"/>
      <c r="CS228" s="254"/>
      <c r="CT228" s="254"/>
      <c r="CU228" s="254"/>
      <c r="CV228" s="254"/>
      <c r="CW228" s="254"/>
      <c r="CX228" s="254"/>
      <c r="CY228" s="254"/>
      <c r="CZ228" s="254"/>
      <c r="DA228" s="254"/>
      <c r="DB228" s="254"/>
      <c r="DC228" s="254"/>
      <c r="DD228" s="254"/>
      <c r="DE228" s="254"/>
      <c r="DF228" s="254"/>
      <c r="DG228" s="254"/>
      <c r="DH228" s="254"/>
      <c r="DI228" s="254"/>
      <c r="DJ228" s="254"/>
      <c r="DK228" s="254"/>
      <c r="DL228" s="254"/>
      <c r="DM228" s="254"/>
      <c r="DN228" s="254"/>
      <c r="DO228" s="254"/>
      <c r="DP228" s="254"/>
      <c r="DQ228" s="254"/>
      <c r="DR228" s="254"/>
      <c r="DS228" s="254"/>
      <c r="DT228" s="254"/>
      <c r="DU228" s="254"/>
      <c r="DV228" s="254"/>
      <c r="DW228" s="254"/>
      <c r="DX228" s="254"/>
      <c r="DY228" s="254"/>
      <c r="DZ228" s="254"/>
      <c r="EA228" s="254"/>
      <c r="EB228" s="254"/>
      <c r="EC228" s="254"/>
      <c r="ED228" s="254"/>
      <c r="EE228" s="254"/>
      <c r="EF228" s="254"/>
      <c r="EG228" s="254"/>
      <c r="EH228" s="254"/>
      <c r="EI228" s="254"/>
      <c r="EJ228" s="254"/>
      <c r="EK228" s="254"/>
      <c r="EL228" s="254"/>
      <c r="EM228" s="254"/>
      <c r="EN228" s="254"/>
      <c r="EO228" s="254"/>
      <c r="EP228" s="254"/>
      <c r="EQ228" s="254"/>
      <c r="ER228" s="254"/>
      <c r="ES228" s="254"/>
      <c r="ET228" s="254"/>
      <c r="EU228" s="254"/>
      <c r="EV228" s="254"/>
      <c r="EW228" s="254"/>
      <c r="EX228" s="254"/>
      <c r="EY228" s="254"/>
      <c r="EZ228" s="254"/>
      <c r="FA228" s="254"/>
      <c r="FB228" s="254"/>
      <c r="FC228" s="254"/>
      <c r="FD228" s="254"/>
      <c r="FE228" s="254"/>
      <c r="FF228" s="254"/>
      <c r="FG228" s="254"/>
      <c r="FH228" s="254"/>
      <c r="FI228" s="254"/>
      <c r="FJ228" s="254"/>
      <c r="FK228" s="254"/>
      <c r="FL228" s="254"/>
      <c r="FM228" s="254"/>
      <c r="FN228" s="254"/>
      <c r="FO228" s="254"/>
      <c r="FP228" s="254"/>
      <c r="FQ228" s="254"/>
      <c r="FR228" s="254"/>
      <c r="FS228" s="254"/>
      <c r="FT228" s="254"/>
      <c r="FU228" s="254"/>
      <c r="FV228" s="254"/>
      <c r="FW228" s="254"/>
      <c r="FX228" s="254"/>
      <c r="FY228" s="254"/>
      <c r="FZ228" s="254"/>
      <c r="GA228" s="254"/>
      <c r="GB228" s="254"/>
      <c r="GC228" s="254"/>
      <c r="GD228" s="254"/>
      <c r="GE228" s="254"/>
      <c r="GF228" s="254"/>
      <c r="GG228" s="254"/>
    </row>
    <row r="229" spans="1:189" s="251" customFormat="1" ht="31.5" x14ac:dyDescent="0.25">
      <c r="A229" s="259" t="s">
        <v>240</v>
      </c>
      <c r="B229" s="260">
        <f t="shared" si="111"/>
        <v>161620</v>
      </c>
      <c r="C229" s="260">
        <f t="shared" si="111"/>
        <v>161620</v>
      </c>
      <c r="D229" s="260">
        <f t="shared" si="111"/>
        <v>0</v>
      </c>
      <c r="E229" s="260"/>
      <c r="F229" s="260"/>
      <c r="G229" s="260">
        <f t="shared" si="97"/>
        <v>0</v>
      </c>
      <c r="H229" s="260"/>
      <c r="I229" s="260"/>
      <c r="J229" s="260">
        <f t="shared" si="133"/>
        <v>0</v>
      </c>
      <c r="K229" s="260"/>
      <c r="L229" s="260"/>
      <c r="M229" s="260">
        <f t="shared" si="134"/>
        <v>0</v>
      </c>
      <c r="N229" s="260"/>
      <c r="O229" s="260"/>
      <c r="P229" s="260">
        <f t="shared" si="135"/>
        <v>0</v>
      </c>
      <c r="Q229" s="260">
        <f>19453+7200+8823+23491+5400+100633-3380</f>
        <v>161620</v>
      </c>
      <c r="R229" s="260">
        <f>19453+7200+8823+23491+5400+100633-3380</f>
        <v>161620</v>
      </c>
      <c r="S229" s="260">
        <f t="shared" si="136"/>
        <v>0</v>
      </c>
      <c r="T229" s="260"/>
      <c r="U229" s="260"/>
      <c r="V229" s="260">
        <f t="shared" si="137"/>
        <v>0</v>
      </c>
      <c r="W229" s="260"/>
      <c r="X229" s="260"/>
      <c r="Y229" s="260">
        <f t="shared" si="138"/>
        <v>0</v>
      </c>
      <c r="Z229" s="260"/>
      <c r="AA229" s="260"/>
      <c r="AB229" s="260">
        <f t="shared" si="139"/>
        <v>0</v>
      </c>
      <c r="AC229" s="254"/>
      <c r="AD229" s="254"/>
      <c r="AE229" s="254"/>
      <c r="AF229" s="254"/>
      <c r="AG229" s="254"/>
      <c r="AH229" s="254"/>
      <c r="AI229" s="254"/>
      <c r="AJ229" s="254"/>
      <c r="AK229" s="254"/>
      <c r="AL229" s="254"/>
      <c r="AM229" s="254"/>
      <c r="AN229" s="254"/>
      <c r="AO229" s="254"/>
      <c r="AP229" s="254"/>
      <c r="AQ229" s="254"/>
      <c r="AR229" s="254"/>
      <c r="AS229" s="254"/>
      <c r="AT229" s="254"/>
      <c r="AU229" s="254"/>
      <c r="AV229" s="254"/>
      <c r="AW229" s="254"/>
      <c r="AX229" s="254"/>
      <c r="AY229" s="254"/>
      <c r="AZ229" s="254"/>
      <c r="BA229" s="254"/>
      <c r="BB229" s="254"/>
      <c r="BC229" s="254"/>
      <c r="BD229" s="254"/>
      <c r="BE229" s="254"/>
      <c r="BF229" s="254"/>
      <c r="BG229" s="254"/>
      <c r="BH229" s="254"/>
      <c r="BI229" s="254"/>
      <c r="BJ229" s="254"/>
      <c r="BK229" s="254"/>
      <c r="BL229" s="254"/>
      <c r="BM229" s="254"/>
      <c r="BN229" s="254"/>
      <c r="BO229" s="254"/>
      <c r="BP229" s="254"/>
      <c r="BQ229" s="254"/>
      <c r="BR229" s="254"/>
      <c r="BS229" s="254"/>
      <c r="BT229" s="254"/>
      <c r="BU229" s="254"/>
      <c r="BV229" s="254"/>
      <c r="BW229" s="254"/>
      <c r="BX229" s="254"/>
      <c r="BY229" s="254"/>
      <c r="BZ229" s="254"/>
      <c r="CA229" s="254"/>
      <c r="CB229" s="254"/>
      <c r="CC229" s="254"/>
      <c r="CD229" s="254"/>
      <c r="CE229" s="254"/>
      <c r="CF229" s="254"/>
      <c r="CG229" s="254"/>
      <c r="CH229" s="254"/>
      <c r="CI229" s="254"/>
      <c r="CJ229" s="254"/>
      <c r="CK229" s="254"/>
      <c r="CL229" s="254"/>
      <c r="CM229" s="254"/>
      <c r="CN229" s="254"/>
      <c r="CO229" s="254"/>
      <c r="CP229" s="254"/>
      <c r="CQ229" s="254"/>
      <c r="CR229" s="254"/>
      <c r="CS229" s="254"/>
      <c r="CT229" s="254"/>
      <c r="CU229" s="254"/>
      <c r="CV229" s="254"/>
      <c r="CW229" s="254"/>
      <c r="CX229" s="254"/>
      <c r="CY229" s="254"/>
      <c r="CZ229" s="254"/>
      <c r="DA229" s="254"/>
      <c r="DB229" s="254"/>
      <c r="DC229" s="254"/>
      <c r="DD229" s="254"/>
      <c r="DE229" s="254"/>
      <c r="DF229" s="254"/>
      <c r="DG229" s="254"/>
      <c r="DH229" s="254"/>
      <c r="DI229" s="254"/>
      <c r="DJ229" s="254"/>
      <c r="DK229" s="254"/>
      <c r="DL229" s="254"/>
      <c r="DM229" s="254"/>
      <c r="DN229" s="254"/>
      <c r="DO229" s="254"/>
      <c r="DP229" s="254"/>
      <c r="DQ229" s="254"/>
      <c r="DR229" s="254"/>
      <c r="DS229" s="254"/>
      <c r="DT229" s="254"/>
      <c r="DU229" s="254"/>
      <c r="DV229" s="254"/>
      <c r="DW229" s="254"/>
      <c r="DX229" s="254"/>
      <c r="DY229" s="254"/>
      <c r="DZ229" s="254"/>
      <c r="EA229" s="254"/>
      <c r="EB229" s="254"/>
      <c r="EC229" s="254"/>
      <c r="ED229" s="254"/>
      <c r="EE229" s="254"/>
      <c r="EF229" s="254"/>
      <c r="EG229" s="254"/>
      <c r="EH229" s="254"/>
      <c r="EI229" s="254"/>
      <c r="EJ229" s="254"/>
      <c r="EK229" s="254"/>
      <c r="EL229" s="254"/>
      <c r="EM229" s="254"/>
      <c r="EN229" s="254"/>
      <c r="EO229" s="254"/>
      <c r="EP229" s="254"/>
      <c r="EQ229" s="254"/>
      <c r="ER229" s="254"/>
      <c r="ES229" s="254"/>
      <c r="ET229" s="254"/>
      <c r="EU229" s="254"/>
      <c r="EV229" s="254"/>
      <c r="EW229" s="254"/>
      <c r="EX229" s="254"/>
      <c r="EY229" s="254"/>
      <c r="EZ229" s="254"/>
      <c r="FA229" s="254"/>
      <c r="FB229" s="254"/>
      <c r="FC229" s="254"/>
      <c r="FD229" s="254"/>
      <c r="FE229" s="254"/>
      <c r="FF229" s="254"/>
      <c r="FG229" s="254"/>
      <c r="FH229" s="254"/>
      <c r="FI229" s="254"/>
      <c r="FJ229" s="254"/>
      <c r="FK229" s="254"/>
      <c r="FL229" s="254"/>
      <c r="FM229" s="254"/>
      <c r="FN229" s="254"/>
      <c r="FO229" s="254"/>
      <c r="FP229" s="254"/>
      <c r="FQ229" s="254"/>
      <c r="FR229" s="254"/>
      <c r="FS229" s="254"/>
      <c r="FT229" s="254"/>
      <c r="FU229" s="254"/>
      <c r="FV229" s="254"/>
      <c r="FW229" s="254"/>
      <c r="FX229" s="254"/>
      <c r="FY229" s="254"/>
      <c r="FZ229" s="254"/>
      <c r="GA229" s="254"/>
      <c r="GB229" s="254"/>
      <c r="GC229" s="254"/>
      <c r="GD229" s="254"/>
      <c r="GE229" s="254"/>
      <c r="GF229" s="254"/>
      <c r="GG229" s="254"/>
    </row>
    <row r="230" spans="1:189" s="254" customFormat="1" x14ac:dyDescent="0.25">
      <c r="A230" s="252" t="s">
        <v>105</v>
      </c>
      <c r="B230" s="253">
        <f t="shared" ref="B230:D317" si="287">E230+H230+K230+N230+Q230+T230+Z230+W230</f>
        <v>4387802</v>
      </c>
      <c r="C230" s="253">
        <f t="shared" si="287"/>
        <v>4387802</v>
      </c>
      <c r="D230" s="253">
        <f t="shared" si="287"/>
        <v>0</v>
      </c>
      <c r="E230" s="253">
        <f t="shared" ref="E230" si="288">SUM(E231:E233)</f>
        <v>235278</v>
      </c>
      <c r="F230" s="253">
        <f t="shared" ref="F230:AA230" si="289">SUM(F231:F233)</f>
        <v>235278</v>
      </c>
      <c r="G230" s="253">
        <f t="shared" si="97"/>
        <v>0</v>
      </c>
      <c r="H230" s="253">
        <f t="shared" ref="H230" si="290">SUM(H231:H233)</f>
        <v>0</v>
      </c>
      <c r="I230" s="253">
        <f t="shared" si="289"/>
        <v>0</v>
      </c>
      <c r="J230" s="253">
        <f t="shared" si="133"/>
        <v>0</v>
      </c>
      <c r="K230" s="253">
        <f t="shared" ref="K230" si="291">SUM(K231:K233)</f>
        <v>16732</v>
      </c>
      <c r="L230" s="253">
        <f t="shared" si="289"/>
        <v>16732</v>
      </c>
      <c r="M230" s="253">
        <f t="shared" si="134"/>
        <v>0</v>
      </c>
      <c r="N230" s="253">
        <f t="shared" ref="N230" si="292">SUM(N231:N233)</f>
        <v>0</v>
      </c>
      <c r="O230" s="253">
        <f t="shared" si="289"/>
        <v>0</v>
      </c>
      <c r="P230" s="253">
        <f t="shared" si="135"/>
        <v>0</v>
      </c>
      <c r="Q230" s="253">
        <f t="shared" ref="Q230" si="293">SUM(Q231:Q233)</f>
        <v>0</v>
      </c>
      <c r="R230" s="253">
        <f t="shared" si="289"/>
        <v>0</v>
      </c>
      <c r="S230" s="253">
        <f t="shared" si="136"/>
        <v>0</v>
      </c>
      <c r="T230" s="253">
        <f t="shared" ref="T230" si="294">SUM(T231:T233)</f>
        <v>364192</v>
      </c>
      <c r="U230" s="253">
        <f t="shared" si="289"/>
        <v>364192</v>
      </c>
      <c r="V230" s="253">
        <f t="shared" si="137"/>
        <v>0</v>
      </c>
      <c r="W230" s="253">
        <f t="shared" ref="W230" si="295">SUM(W231:W233)</f>
        <v>0</v>
      </c>
      <c r="X230" s="253">
        <f t="shared" si="289"/>
        <v>800000</v>
      </c>
      <c r="Y230" s="253">
        <f t="shared" si="138"/>
        <v>800000</v>
      </c>
      <c r="Z230" s="253">
        <f t="shared" ref="Z230" si="296">SUM(Z231:Z233)</f>
        <v>3771600</v>
      </c>
      <c r="AA230" s="253">
        <f t="shared" si="289"/>
        <v>2971600</v>
      </c>
      <c r="AB230" s="253">
        <f t="shared" si="139"/>
        <v>-800000</v>
      </c>
      <c r="AC230" s="251"/>
      <c r="AD230" s="251"/>
      <c r="AE230" s="251"/>
      <c r="AF230" s="251"/>
      <c r="AG230" s="251"/>
      <c r="AH230" s="251"/>
      <c r="AI230" s="251"/>
      <c r="AJ230" s="251"/>
      <c r="AK230" s="251"/>
      <c r="AL230" s="251"/>
      <c r="AM230" s="251"/>
      <c r="AN230" s="251"/>
      <c r="AO230" s="251"/>
      <c r="AP230" s="251"/>
      <c r="AQ230" s="251"/>
      <c r="AR230" s="251"/>
      <c r="AS230" s="251"/>
      <c r="AT230" s="251"/>
      <c r="AU230" s="251"/>
      <c r="AV230" s="251"/>
      <c r="AW230" s="251"/>
      <c r="AX230" s="251"/>
      <c r="AY230" s="251"/>
      <c r="AZ230" s="251"/>
      <c r="BA230" s="251"/>
      <c r="BB230" s="251"/>
      <c r="BC230" s="251"/>
      <c r="BD230" s="251"/>
      <c r="BE230" s="251"/>
      <c r="BF230" s="251"/>
      <c r="BG230" s="251"/>
      <c r="BH230" s="251"/>
      <c r="BI230" s="251"/>
      <c r="BJ230" s="251"/>
      <c r="BK230" s="251"/>
      <c r="BL230" s="251"/>
      <c r="BM230" s="251"/>
      <c r="BN230" s="251"/>
      <c r="BO230" s="251"/>
      <c r="BP230" s="251"/>
      <c r="BQ230" s="251"/>
      <c r="BR230" s="251"/>
      <c r="BS230" s="251"/>
      <c r="BT230" s="251"/>
      <c r="BU230" s="251"/>
      <c r="BV230" s="251"/>
      <c r="BW230" s="251"/>
      <c r="BX230" s="251"/>
      <c r="BY230" s="251"/>
      <c r="BZ230" s="251"/>
      <c r="CA230" s="251"/>
      <c r="CB230" s="251"/>
      <c r="CC230" s="251"/>
      <c r="CD230" s="251"/>
      <c r="CE230" s="251"/>
      <c r="CF230" s="251"/>
      <c r="CG230" s="251"/>
      <c r="CH230" s="251"/>
      <c r="CI230" s="251"/>
      <c r="CJ230" s="251"/>
      <c r="CK230" s="251"/>
      <c r="CL230" s="251"/>
      <c r="CM230" s="251"/>
      <c r="CN230" s="251"/>
      <c r="CO230" s="251"/>
      <c r="CP230" s="251"/>
      <c r="CQ230" s="251"/>
      <c r="CR230" s="251"/>
      <c r="CS230" s="251"/>
      <c r="CT230" s="251"/>
      <c r="CU230" s="251"/>
      <c r="CV230" s="251"/>
      <c r="CW230" s="251"/>
      <c r="CX230" s="251"/>
      <c r="CY230" s="251"/>
      <c r="CZ230" s="251"/>
      <c r="DA230" s="251"/>
      <c r="DB230" s="251"/>
      <c r="DC230" s="251"/>
      <c r="DD230" s="251"/>
      <c r="DE230" s="251"/>
      <c r="DF230" s="251"/>
      <c r="DG230" s="251"/>
      <c r="DH230" s="251"/>
      <c r="DI230" s="251"/>
      <c r="DJ230" s="251"/>
      <c r="DK230" s="251"/>
      <c r="DL230" s="251"/>
      <c r="DM230" s="251"/>
      <c r="DN230" s="251"/>
      <c r="DO230" s="251"/>
      <c r="DP230" s="251"/>
      <c r="DQ230" s="251"/>
      <c r="DR230" s="251"/>
      <c r="DS230" s="251"/>
      <c r="DT230" s="251"/>
      <c r="DU230" s="251"/>
      <c r="DV230" s="251"/>
      <c r="DW230" s="251"/>
      <c r="DX230" s="251"/>
      <c r="DY230" s="251"/>
      <c r="DZ230" s="251"/>
      <c r="EA230" s="251"/>
      <c r="EB230" s="251"/>
      <c r="EC230" s="251"/>
      <c r="ED230" s="251"/>
      <c r="EE230" s="251"/>
      <c r="EF230" s="251"/>
      <c r="EG230" s="251"/>
      <c r="EH230" s="251"/>
      <c r="EI230" s="251"/>
      <c r="EJ230" s="251"/>
      <c r="EK230" s="251"/>
      <c r="EL230" s="251"/>
      <c r="EM230" s="251"/>
      <c r="EN230" s="251"/>
      <c r="EO230" s="251"/>
      <c r="EP230" s="251"/>
      <c r="EQ230" s="251"/>
      <c r="ER230" s="251"/>
      <c r="ES230" s="251"/>
      <c r="ET230" s="251"/>
      <c r="EU230" s="251"/>
      <c r="EV230" s="251"/>
      <c r="EW230" s="251"/>
      <c r="EX230" s="251"/>
      <c r="EY230" s="251"/>
      <c r="EZ230" s="251"/>
      <c r="FA230" s="251"/>
      <c r="FB230" s="251"/>
      <c r="FC230" s="251"/>
      <c r="FD230" s="251"/>
      <c r="FE230" s="251"/>
      <c r="FF230" s="251"/>
      <c r="FG230" s="251"/>
      <c r="FH230" s="251"/>
      <c r="FI230" s="251"/>
      <c r="FJ230" s="251"/>
      <c r="FK230" s="251"/>
      <c r="FL230" s="251"/>
      <c r="FM230" s="251"/>
      <c r="FN230" s="251"/>
      <c r="FO230" s="251"/>
      <c r="FP230" s="251"/>
      <c r="FQ230" s="251"/>
      <c r="FR230" s="251"/>
      <c r="FS230" s="251"/>
      <c r="FT230" s="251"/>
      <c r="FU230" s="251"/>
      <c r="FV230" s="251"/>
      <c r="FW230" s="251"/>
      <c r="FX230" s="251"/>
      <c r="FY230" s="251"/>
      <c r="FZ230" s="251"/>
      <c r="GA230" s="251"/>
      <c r="GB230" s="251"/>
      <c r="GC230" s="251"/>
      <c r="GD230" s="251"/>
      <c r="GE230" s="251"/>
      <c r="GF230" s="251"/>
      <c r="GG230" s="251"/>
    </row>
    <row r="231" spans="1:189" s="254" customFormat="1" ht="31.5" x14ac:dyDescent="0.25">
      <c r="A231" s="259" t="s">
        <v>119</v>
      </c>
      <c r="B231" s="260">
        <f t="shared" si="287"/>
        <v>1052010</v>
      </c>
      <c r="C231" s="260">
        <f t="shared" si="287"/>
        <v>1052010</v>
      </c>
      <c r="D231" s="260">
        <f t="shared" si="287"/>
        <v>0</v>
      </c>
      <c r="E231" s="260">
        <f>200000+35278</f>
        <v>235278</v>
      </c>
      <c r="F231" s="260">
        <f>200000+35278</f>
        <v>235278</v>
      </c>
      <c r="G231" s="260">
        <f t="shared" si="97"/>
        <v>0</v>
      </c>
      <c r="H231" s="260"/>
      <c r="I231" s="260"/>
      <c r="J231" s="260">
        <f t="shared" si="133"/>
        <v>0</v>
      </c>
      <c r="K231" s="260">
        <f>52010-35278</f>
        <v>16732</v>
      </c>
      <c r="L231" s="260">
        <f>52010-35278</f>
        <v>16732</v>
      </c>
      <c r="M231" s="260">
        <f t="shared" si="134"/>
        <v>0</v>
      </c>
      <c r="N231" s="260"/>
      <c r="O231" s="260"/>
      <c r="P231" s="260">
        <f t="shared" si="135"/>
        <v>0</v>
      </c>
      <c r="Q231" s="260"/>
      <c r="R231" s="260"/>
      <c r="S231" s="260">
        <f t="shared" si="136"/>
        <v>0</v>
      </c>
      <c r="T231" s="260"/>
      <c r="U231" s="260"/>
      <c r="V231" s="260">
        <f t="shared" si="137"/>
        <v>0</v>
      </c>
      <c r="W231" s="260"/>
      <c r="X231" s="260">
        <v>800000</v>
      </c>
      <c r="Y231" s="260">
        <f t="shared" si="138"/>
        <v>800000</v>
      </c>
      <c r="Z231" s="260">
        <f>800000</f>
        <v>800000</v>
      </c>
      <c r="AA231" s="260">
        <f>800000-800000</f>
        <v>0</v>
      </c>
      <c r="AB231" s="260">
        <f t="shared" si="139"/>
        <v>-800000</v>
      </c>
    </row>
    <row r="232" spans="1:189" s="254" customFormat="1" x14ac:dyDescent="0.25">
      <c r="A232" s="259" t="s">
        <v>120</v>
      </c>
      <c r="B232" s="260">
        <f t="shared" si="287"/>
        <v>2971600</v>
      </c>
      <c r="C232" s="260">
        <f t="shared" si="287"/>
        <v>2971600</v>
      </c>
      <c r="D232" s="260">
        <f t="shared" si="287"/>
        <v>0</v>
      </c>
      <c r="E232" s="260"/>
      <c r="F232" s="260"/>
      <c r="G232" s="260">
        <f t="shared" ref="G232:G336" si="297">F232-E232</f>
        <v>0</v>
      </c>
      <c r="H232" s="260"/>
      <c r="I232" s="260"/>
      <c r="J232" s="260">
        <f t="shared" si="133"/>
        <v>0</v>
      </c>
      <c r="K232" s="260"/>
      <c r="L232" s="260"/>
      <c r="M232" s="260">
        <f t="shared" si="134"/>
        <v>0</v>
      </c>
      <c r="N232" s="260"/>
      <c r="O232" s="260"/>
      <c r="P232" s="260">
        <f t="shared" si="135"/>
        <v>0</v>
      </c>
      <c r="Q232" s="260"/>
      <c r="R232" s="260"/>
      <c r="S232" s="260">
        <f t="shared" si="136"/>
        <v>0</v>
      </c>
      <c r="T232" s="260"/>
      <c r="U232" s="260"/>
      <c r="V232" s="260">
        <f t="shared" si="137"/>
        <v>0</v>
      </c>
      <c r="W232" s="260"/>
      <c r="X232" s="260"/>
      <c r="Y232" s="260">
        <f t="shared" si="138"/>
        <v>0</v>
      </c>
      <c r="Z232" s="260">
        <v>2971600</v>
      </c>
      <c r="AA232" s="260">
        <v>2971600</v>
      </c>
      <c r="AB232" s="260">
        <f t="shared" si="139"/>
        <v>0</v>
      </c>
    </row>
    <row r="233" spans="1:189" s="254" customFormat="1" ht="47.25" x14ac:dyDescent="0.25">
      <c r="A233" s="259" t="s">
        <v>121</v>
      </c>
      <c r="B233" s="260">
        <f t="shared" si="287"/>
        <v>364192</v>
      </c>
      <c r="C233" s="260">
        <f t="shared" si="287"/>
        <v>364192</v>
      </c>
      <c r="D233" s="260">
        <f t="shared" si="287"/>
        <v>0</v>
      </c>
      <c r="E233" s="260"/>
      <c r="F233" s="260"/>
      <c r="G233" s="260">
        <f t="shared" si="297"/>
        <v>0</v>
      </c>
      <c r="H233" s="260"/>
      <c r="I233" s="260"/>
      <c r="J233" s="260">
        <f t="shared" si="133"/>
        <v>0</v>
      </c>
      <c r="K233" s="260"/>
      <c r="L233" s="260"/>
      <c r="M233" s="260">
        <f t="shared" si="134"/>
        <v>0</v>
      </c>
      <c r="N233" s="260"/>
      <c r="O233" s="260"/>
      <c r="P233" s="260">
        <f t="shared" si="135"/>
        <v>0</v>
      </c>
      <c r="Q233" s="260"/>
      <c r="R233" s="260"/>
      <c r="S233" s="260">
        <f t="shared" si="136"/>
        <v>0</v>
      </c>
      <c r="T233" s="260">
        <v>364192</v>
      </c>
      <c r="U233" s="260">
        <v>364192</v>
      </c>
      <c r="V233" s="260">
        <f t="shared" si="137"/>
        <v>0</v>
      </c>
      <c r="W233" s="260"/>
      <c r="X233" s="260"/>
      <c r="Y233" s="260">
        <f t="shared" si="138"/>
        <v>0</v>
      </c>
      <c r="Z233" s="260"/>
      <c r="AA233" s="260"/>
      <c r="AB233" s="260">
        <f t="shared" si="139"/>
        <v>0</v>
      </c>
    </row>
    <row r="234" spans="1:189" s="254" customFormat="1" ht="31.5" x14ac:dyDescent="0.25">
      <c r="A234" s="252" t="s">
        <v>107</v>
      </c>
      <c r="B234" s="253">
        <f t="shared" si="287"/>
        <v>64747</v>
      </c>
      <c r="C234" s="253">
        <f t="shared" si="287"/>
        <v>81977</v>
      </c>
      <c r="D234" s="253">
        <f t="shared" si="287"/>
        <v>17230</v>
      </c>
      <c r="E234" s="253">
        <f>SUM(E235:E250)</f>
        <v>0</v>
      </c>
      <c r="F234" s="253">
        <f>SUM(F235:F250)</f>
        <v>0</v>
      </c>
      <c r="G234" s="253">
        <f t="shared" si="297"/>
        <v>0</v>
      </c>
      <c r="H234" s="253">
        <f t="shared" ref="H234" si="298">SUM(H235:H250)</f>
        <v>0</v>
      </c>
      <c r="I234" s="253">
        <f t="shared" ref="I234" si="299">SUM(I235:I250)</f>
        <v>0</v>
      </c>
      <c r="J234" s="253">
        <f t="shared" si="133"/>
        <v>0</v>
      </c>
      <c r="K234" s="253">
        <f t="shared" ref="K234" si="300">SUM(K235:K250)</f>
        <v>37613</v>
      </c>
      <c r="L234" s="253">
        <f t="shared" ref="L234" si="301">SUM(L235:L250)</f>
        <v>41858</v>
      </c>
      <c r="M234" s="253">
        <f t="shared" si="134"/>
        <v>4245</v>
      </c>
      <c r="N234" s="253">
        <f t="shared" ref="N234" si="302">SUM(N235:N250)</f>
        <v>0</v>
      </c>
      <c r="O234" s="253">
        <f t="shared" ref="O234" si="303">SUM(O235:O250)</f>
        <v>0</v>
      </c>
      <c r="P234" s="253">
        <f t="shared" si="135"/>
        <v>0</v>
      </c>
      <c r="Q234" s="253">
        <f t="shared" ref="Q234" si="304">SUM(Q235:Q250)</f>
        <v>22134</v>
      </c>
      <c r="R234" s="253">
        <f t="shared" ref="R234" si="305">SUM(R235:R250)</f>
        <v>27508</v>
      </c>
      <c r="S234" s="253">
        <f t="shared" si="136"/>
        <v>5374</v>
      </c>
      <c r="T234" s="253">
        <f t="shared" ref="T234" si="306">SUM(T235:T250)</f>
        <v>0</v>
      </c>
      <c r="U234" s="253">
        <f t="shared" ref="U234" si="307">SUM(U235:U250)</f>
        <v>0</v>
      </c>
      <c r="V234" s="253">
        <f t="shared" si="137"/>
        <v>0</v>
      </c>
      <c r="W234" s="253">
        <f t="shared" ref="W234:X234" si="308">SUM(W235:W250)</f>
        <v>5000</v>
      </c>
      <c r="X234" s="253">
        <f t="shared" si="308"/>
        <v>12611</v>
      </c>
      <c r="Y234" s="253">
        <f t="shared" si="138"/>
        <v>7611</v>
      </c>
      <c r="Z234" s="253">
        <f t="shared" ref="Z234" si="309">SUM(Z235:Z250)</f>
        <v>0</v>
      </c>
      <c r="AA234" s="253">
        <f t="shared" ref="AA234" si="310">SUM(AA235:AA250)</f>
        <v>0</v>
      </c>
      <c r="AB234" s="253">
        <f t="shared" si="139"/>
        <v>0</v>
      </c>
    </row>
    <row r="235" spans="1:189" s="254" customFormat="1" x14ac:dyDescent="0.25">
      <c r="A235" s="259" t="s">
        <v>245</v>
      </c>
      <c r="B235" s="260">
        <f t="shared" si="287"/>
        <v>3358</v>
      </c>
      <c r="C235" s="260">
        <f t="shared" si="287"/>
        <v>3358</v>
      </c>
      <c r="D235" s="260">
        <f t="shared" si="287"/>
        <v>0</v>
      </c>
      <c r="E235" s="260"/>
      <c r="F235" s="260"/>
      <c r="G235" s="260">
        <f t="shared" si="297"/>
        <v>0</v>
      </c>
      <c r="H235" s="260"/>
      <c r="I235" s="260"/>
      <c r="J235" s="260">
        <f t="shared" si="133"/>
        <v>0</v>
      </c>
      <c r="K235" s="260"/>
      <c r="L235" s="260"/>
      <c r="M235" s="260">
        <f t="shared" si="134"/>
        <v>0</v>
      </c>
      <c r="N235" s="260"/>
      <c r="O235" s="260"/>
      <c r="P235" s="260">
        <f t="shared" si="135"/>
        <v>0</v>
      </c>
      <c r="Q235" s="260">
        <f>131668-120000-8310</f>
        <v>3358</v>
      </c>
      <c r="R235" s="260">
        <f>131668-120000-8310</f>
        <v>3358</v>
      </c>
      <c r="S235" s="260">
        <f t="shared" si="136"/>
        <v>0</v>
      </c>
      <c r="T235" s="260"/>
      <c r="U235" s="260"/>
      <c r="V235" s="260">
        <f t="shared" si="137"/>
        <v>0</v>
      </c>
      <c r="W235" s="260"/>
      <c r="X235" s="260"/>
      <c r="Y235" s="260">
        <f t="shared" si="138"/>
        <v>0</v>
      </c>
      <c r="Z235" s="260"/>
      <c r="AA235" s="260"/>
      <c r="AB235" s="260">
        <f t="shared" si="139"/>
        <v>0</v>
      </c>
    </row>
    <row r="236" spans="1:189" s="254" customFormat="1" ht="31.5" x14ac:dyDescent="0.25">
      <c r="A236" s="259" t="s">
        <v>436</v>
      </c>
      <c r="B236" s="260">
        <f t="shared" si="287"/>
        <v>3054</v>
      </c>
      <c r="C236" s="260">
        <f t="shared" si="287"/>
        <v>3054</v>
      </c>
      <c r="D236" s="260">
        <f t="shared" si="287"/>
        <v>0</v>
      </c>
      <c r="E236" s="260"/>
      <c r="F236" s="260"/>
      <c r="G236" s="260">
        <f t="shared" si="297"/>
        <v>0</v>
      </c>
      <c r="H236" s="260"/>
      <c r="I236" s="260"/>
      <c r="J236" s="260">
        <f t="shared" si="133"/>
        <v>0</v>
      </c>
      <c r="K236" s="260">
        <v>3054</v>
      </c>
      <c r="L236" s="260">
        <v>3054</v>
      </c>
      <c r="M236" s="260">
        <f t="shared" si="134"/>
        <v>0</v>
      </c>
      <c r="N236" s="260"/>
      <c r="O236" s="260"/>
      <c r="P236" s="260">
        <f t="shared" si="135"/>
        <v>0</v>
      </c>
      <c r="Q236" s="260"/>
      <c r="R236" s="260"/>
      <c r="S236" s="260">
        <f t="shared" si="136"/>
        <v>0</v>
      </c>
      <c r="T236" s="260"/>
      <c r="U236" s="260"/>
      <c r="V236" s="260">
        <f t="shared" si="137"/>
        <v>0</v>
      </c>
      <c r="W236" s="260"/>
      <c r="X236" s="260"/>
      <c r="Y236" s="260">
        <f t="shared" si="138"/>
        <v>0</v>
      </c>
      <c r="Z236" s="260"/>
      <c r="AA236" s="260"/>
      <c r="AB236" s="260">
        <f t="shared" si="139"/>
        <v>0</v>
      </c>
    </row>
    <row r="237" spans="1:189" s="254" customFormat="1" ht="31.5" x14ac:dyDescent="0.25">
      <c r="A237" s="259" t="s">
        <v>211</v>
      </c>
      <c r="B237" s="260">
        <f t="shared" si="287"/>
        <v>3744</v>
      </c>
      <c r="C237" s="260">
        <f t="shared" si="287"/>
        <v>3744</v>
      </c>
      <c r="D237" s="260">
        <f t="shared" si="287"/>
        <v>0</v>
      </c>
      <c r="E237" s="260"/>
      <c r="F237" s="260"/>
      <c r="G237" s="260">
        <f t="shared" si="297"/>
        <v>0</v>
      </c>
      <c r="H237" s="260"/>
      <c r="I237" s="260"/>
      <c r="J237" s="260">
        <f t="shared" si="133"/>
        <v>0</v>
      </c>
      <c r="K237" s="260"/>
      <c r="L237" s="260"/>
      <c r="M237" s="260">
        <f t="shared" si="134"/>
        <v>0</v>
      </c>
      <c r="N237" s="260"/>
      <c r="O237" s="260"/>
      <c r="P237" s="260">
        <f t="shared" si="135"/>
        <v>0</v>
      </c>
      <c r="Q237" s="260">
        <v>3744</v>
      </c>
      <c r="R237" s="260">
        <v>3744</v>
      </c>
      <c r="S237" s="260">
        <f t="shared" si="136"/>
        <v>0</v>
      </c>
      <c r="T237" s="260"/>
      <c r="U237" s="260"/>
      <c r="V237" s="260">
        <f t="shared" si="137"/>
        <v>0</v>
      </c>
      <c r="W237" s="260"/>
      <c r="X237" s="260"/>
      <c r="Y237" s="260">
        <f t="shared" si="138"/>
        <v>0</v>
      </c>
      <c r="Z237" s="260"/>
      <c r="AA237" s="260"/>
      <c r="AB237" s="260">
        <f t="shared" si="139"/>
        <v>0</v>
      </c>
    </row>
    <row r="238" spans="1:189" s="251" customFormat="1" x14ac:dyDescent="0.25">
      <c r="A238" s="259" t="s">
        <v>244</v>
      </c>
      <c r="B238" s="260">
        <f t="shared" si="287"/>
        <v>10482</v>
      </c>
      <c r="C238" s="260">
        <f t="shared" si="287"/>
        <v>10482</v>
      </c>
      <c r="D238" s="260">
        <f t="shared" si="287"/>
        <v>0</v>
      </c>
      <c r="E238" s="260"/>
      <c r="F238" s="260"/>
      <c r="G238" s="260">
        <f t="shared" si="297"/>
        <v>0</v>
      </c>
      <c r="H238" s="260"/>
      <c r="I238" s="260"/>
      <c r="J238" s="260">
        <f t="shared" si="133"/>
        <v>0</v>
      </c>
      <c r="K238" s="260"/>
      <c r="L238" s="260"/>
      <c r="M238" s="260">
        <f t="shared" si="134"/>
        <v>0</v>
      </c>
      <c r="N238" s="260"/>
      <c r="O238" s="260"/>
      <c r="P238" s="260">
        <f t="shared" si="135"/>
        <v>0</v>
      </c>
      <c r="Q238" s="260">
        <f>3108+1842+2532+3000</f>
        <v>10482</v>
      </c>
      <c r="R238" s="260">
        <f>3108+1842+2532+3000</f>
        <v>10482</v>
      </c>
      <c r="S238" s="260">
        <f t="shared" si="136"/>
        <v>0</v>
      </c>
      <c r="T238" s="260"/>
      <c r="U238" s="260"/>
      <c r="V238" s="260">
        <f t="shared" si="137"/>
        <v>0</v>
      </c>
      <c r="W238" s="260"/>
      <c r="X238" s="260"/>
      <c r="Y238" s="260">
        <f t="shared" si="138"/>
        <v>0</v>
      </c>
      <c r="Z238" s="260"/>
      <c r="AA238" s="260"/>
      <c r="AB238" s="260">
        <f t="shared" si="139"/>
        <v>0</v>
      </c>
      <c r="AC238" s="254"/>
      <c r="AD238" s="254"/>
      <c r="AE238" s="254"/>
      <c r="AF238" s="254"/>
      <c r="AG238" s="254"/>
      <c r="AH238" s="254"/>
      <c r="AI238" s="254"/>
      <c r="AJ238" s="254"/>
      <c r="AK238" s="254"/>
      <c r="AL238" s="254"/>
      <c r="AM238" s="254"/>
      <c r="AN238" s="254"/>
      <c r="AO238" s="254"/>
      <c r="AP238" s="254"/>
      <c r="AQ238" s="254"/>
      <c r="AR238" s="254"/>
      <c r="AS238" s="254"/>
      <c r="AT238" s="254"/>
      <c r="AU238" s="254"/>
      <c r="AV238" s="254"/>
      <c r="AW238" s="254"/>
      <c r="AX238" s="254"/>
      <c r="AY238" s="254"/>
      <c r="AZ238" s="254"/>
      <c r="BA238" s="254"/>
      <c r="BB238" s="254"/>
      <c r="BC238" s="254"/>
      <c r="BD238" s="254"/>
      <c r="BE238" s="254"/>
      <c r="BF238" s="254"/>
      <c r="BG238" s="254"/>
      <c r="BH238" s="254"/>
      <c r="BI238" s="254"/>
      <c r="BJ238" s="254"/>
      <c r="BK238" s="254"/>
      <c r="BL238" s="254"/>
      <c r="BM238" s="254"/>
      <c r="BN238" s="254"/>
      <c r="BO238" s="254"/>
      <c r="BP238" s="254"/>
      <c r="BQ238" s="254"/>
      <c r="BR238" s="254"/>
      <c r="BS238" s="254"/>
      <c r="BT238" s="254"/>
      <c r="BU238" s="254"/>
      <c r="BV238" s="254"/>
      <c r="BW238" s="254"/>
      <c r="BX238" s="254"/>
      <c r="BY238" s="254"/>
      <c r="BZ238" s="254"/>
      <c r="CA238" s="254"/>
      <c r="CB238" s="254"/>
      <c r="CC238" s="254"/>
      <c r="CD238" s="254"/>
      <c r="CE238" s="254"/>
      <c r="CF238" s="254"/>
      <c r="CG238" s="254"/>
      <c r="CH238" s="254"/>
      <c r="CI238" s="254"/>
      <c r="CJ238" s="254"/>
      <c r="CK238" s="254"/>
      <c r="CL238" s="254"/>
      <c r="CM238" s="254"/>
      <c r="CN238" s="254"/>
      <c r="CO238" s="254"/>
      <c r="CP238" s="254"/>
      <c r="CQ238" s="254"/>
      <c r="CR238" s="254"/>
      <c r="CS238" s="254"/>
      <c r="CT238" s="254"/>
      <c r="CU238" s="254"/>
      <c r="CV238" s="254"/>
      <c r="CW238" s="254"/>
      <c r="CX238" s="254"/>
      <c r="CY238" s="254"/>
      <c r="CZ238" s="254"/>
      <c r="DA238" s="254"/>
      <c r="DB238" s="254"/>
      <c r="DC238" s="254"/>
      <c r="DD238" s="254"/>
      <c r="DE238" s="254"/>
      <c r="DF238" s="254"/>
      <c r="DG238" s="254"/>
      <c r="DH238" s="254"/>
      <c r="DI238" s="254"/>
      <c r="DJ238" s="254"/>
      <c r="DK238" s="254"/>
      <c r="DL238" s="254"/>
      <c r="DM238" s="254"/>
      <c r="DN238" s="254"/>
      <c r="DO238" s="254"/>
      <c r="DP238" s="254"/>
      <c r="DQ238" s="254"/>
      <c r="DR238" s="254"/>
      <c r="DS238" s="254"/>
      <c r="DT238" s="254"/>
      <c r="DU238" s="254"/>
      <c r="DV238" s="254"/>
      <c r="DW238" s="254"/>
      <c r="DX238" s="254"/>
      <c r="DY238" s="254"/>
      <c r="DZ238" s="254"/>
      <c r="EA238" s="254"/>
      <c r="EB238" s="254"/>
      <c r="EC238" s="254"/>
      <c r="ED238" s="254"/>
      <c r="EE238" s="254"/>
      <c r="EF238" s="254"/>
      <c r="EG238" s="254"/>
      <c r="EH238" s="254"/>
      <c r="EI238" s="254"/>
      <c r="EJ238" s="254"/>
      <c r="EK238" s="254"/>
      <c r="EL238" s="254"/>
      <c r="EM238" s="254"/>
      <c r="EN238" s="254"/>
      <c r="EO238" s="254"/>
      <c r="EP238" s="254"/>
      <c r="EQ238" s="254"/>
      <c r="ER238" s="254"/>
      <c r="ES238" s="254"/>
      <c r="ET238" s="254"/>
      <c r="EU238" s="254"/>
      <c r="EV238" s="254"/>
      <c r="EW238" s="254"/>
      <c r="EX238" s="254"/>
      <c r="EY238" s="254"/>
      <c r="EZ238" s="254"/>
      <c r="FA238" s="254"/>
      <c r="FB238" s="254"/>
      <c r="FC238" s="254"/>
      <c r="FD238" s="254"/>
      <c r="FE238" s="254"/>
      <c r="FF238" s="254"/>
      <c r="FG238" s="254"/>
      <c r="FH238" s="254"/>
      <c r="FI238" s="254"/>
      <c r="FJ238" s="254"/>
      <c r="FK238" s="254"/>
      <c r="FL238" s="254"/>
      <c r="FM238" s="254"/>
      <c r="FN238" s="254"/>
      <c r="FO238" s="254"/>
      <c r="FP238" s="254"/>
      <c r="FQ238" s="254"/>
      <c r="FR238" s="254"/>
      <c r="FS238" s="254"/>
      <c r="FT238" s="254"/>
      <c r="FU238" s="254"/>
      <c r="FV238" s="254"/>
      <c r="FW238" s="254"/>
      <c r="FX238" s="254"/>
      <c r="FY238" s="254"/>
      <c r="FZ238" s="254"/>
      <c r="GA238" s="254"/>
      <c r="GB238" s="254"/>
      <c r="GC238" s="254"/>
      <c r="GD238" s="254"/>
      <c r="GE238" s="254"/>
      <c r="GF238" s="254"/>
      <c r="GG238" s="254"/>
    </row>
    <row r="239" spans="1:189" s="251" customFormat="1" x14ac:dyDescent="0.25">
      <c r="A239" s="259" t="s">
        <v>246</v>
      </c>
      <c r="B239" s="260">
        <f t="shared" si="287"/>
        <v>3580</v>
      </c>
      <c r="C239" s="260">
        <f t="shared" si="287"/>
        <v>3580</v>
      </c>
      <c r="D239" s="260">
        <f t="shared" si="287"/>
        <v>0</v>
      </c>
      <c r="E239" s="260"/>
      <c r="F239" s="260"/>
      <c r="G239" s="260">
        <f t="shared" si="297"/>
        <v>0</v>
      </c>
      <c r="H239" s="260"/>
      <c r="I239" s="260"/>
      <c r="J239" s="260">
        <f t="shared" si="133"/>
        <v>0</v>
      </c>
      <c r="K239" s="260">
        <v>3580</v>
      </c>
      <c r="L239" s="260">
        <v>3580</v>
      </c>
      <c r="M239" s="260">
        <f t="shared" si="134"/>
        <v>0</v>
      </c>
      <c r="N239" s="260"/>
      <c r="O239" s="260"/>
      <c r="P239" s="260">
        <f t="shared" si="135"/>
        <v>0</v>
      </c>
      <c r="Q239" s="260"/>
      <c r="R239" s="260"/>
      <c r="S239" s="260">
        <f t="shared" si="136"/>
        <v>0</v>
      </c>
      <c r="T239" s="260"/>
      <c r="U239" s="260"/>
      <c r="V239" s="260">
        <f t="shared" si="137"/>
        <v>0</v>
      </c>
      <c r="W239" s="260"/>
      <c r="X239" s="260"/>
      <c r="Y239" s="260">
        <f t="shared" si="138"/>
        <v>0</v>
      </c>
      <c r="Z239" s="260"/>
      <c r="AA239" s="260"/>
      <c r="AB239" s="260">
        <f t="shared" si="139"/>
        <v>0</v>
      </c>
      <c r="AC239" s="254"/>
      <c r="AD239" s="254"/>
      <c r="AE239" s="254"/>
      <c r="AF239" s="254"/>
      <c r="AG239" s="254"/>
      <c r="AH239" s="254"/>
      <c r="AI239" s="254"/>
      <c r="AJ239" s="254"/>
      <c r="AK239" s="254"/>
      <c r="AL239" s="254"/>
      <c r="AM239" s="254"/>
      <c r="AN239" s="254"/>
      <c r="AO239" s="254"/>
      <c r="AP239" s="254"/>
      <c r="AQ239" s="254"/>
      <c r="AR239" s="254"/>
      <c r="AS239" s="254"/>
      <c r="AT239" s="254"/>
      <c r="AU239" s="254"/>
      <c r="AV239" s="254"/>
      <c r="AW239" s="254"/>
      <c r="AX239" s="254"/>
      <c r="AY239" s="254"/>
      <c r="AZ239" s="254"/>
      <c r="BA239" s="254"/>
      <c r="BB239" s="254"/>
      <c r="BC239" s="254"/>
      <c r="BD239" s="254"/>
      <c r="BE239" s="254"/>
      <c r="BF239" s="254"/>
      <c r="BG239" s="254"/>
      <c r="BH239" s="254"/>
      <c r="BI239" s="254"/>
      <c r="BJ239" s="254"/>
      <c r="BK239" s="254"/>
      <c r="BL239" s="254"/>
      <c r="BM239" s="254"/>
      <c r="BN239" s="254"/>
      <c r="BO239" s="254"/>
      <c r="BP239" s="254"/>
      <c r="BQ239" s="254"/>
      <c r="BR239" s="254"/>
      <c r="BS239" s="254"/>
      <c r="BT239" s="254"/>
      <c r="BU239" s="254"/>
      <c r="BV239" s="254"/>
      <c r="BW239" s="254"/>
      <c r="BX239" s="254"/>
      <c r="BY239" s="254"/>
      <c r="BZ239" s="254"/>
      <c r="CA239" s="254"/>
      <c r="CB239" s="254"/>
      <c r="CC239" s="254"/>
      <c r="CD239" s="254"/>
      <c r="CE239" s="254"/>
      <c r="CF239" s="254"/>
      <c r="CG239" s="254"/>
      <c r="CH239" s="254"/>
      <c r="CI239" s="254"/>
      <c r="CJ239" s="254"/>
      <c r="CK239" s="254"/>
      <c r="CL239" s="254"/>
      <c r="CM239" s="254"/>
      <c r="CN239" s="254"/>
      <c r="CO239" s="254"/>
      <c r="CP239" s="254"/>
      <c r="CQ239" s="254"/>
      <c r="CR239" s="254"/>
      <c r="CS239" s="254"/>
      <c r="CT239" s="254"/>
      <c r="CU239" s="254"/>
      <c r="CV239" s="254"/>
      <c r="CW239" s="254"/>
      <c r="CX239" s="254"/>
      <c r="CY239" s="254"/>
      <c r="CZ239" s="254"/>
      <c r="DA239" s="254"/>
      <c r="DB239" s="254"/>
      <c r="DC239" s="254"/>
      <c r="DD239" s="254"/>
      <c r="DE239" s="254"/>
      <c r="DF239" s="254"/>
      <c r="DG239" s="254"/>
      <c r="DH239" s="254"/>
      <c r="DI239" s="254"/>
      <c r="DJ239" s="254"/>
      <c r="DK239" s="254"/>
      <c r="DL239" s="254"/>
      <c r="DM239" s="254"/>
      <c r="DN239" s="254"/>
      <c r="DO239" s="254"/>
      <c r="DP239" s="254"/>
      <c r="DQ239" s="254"/>
      <c r="DR239" s="254"/>
      <c r="DS239" s="254"/>
      <c r="DT239" s="254"/>
      <c r="DU239" s="254"/>
      <c r="DV239" s="254"/>
      <c r="DW239" s="254"/>
      <c r="DX239" s="254"/>
      <c r="DY239" s="254"/>
      <c r="DZ239" s="254"/>
      <c r="EA239" s="254"/>
      <c r="EB239" s="254"/>
      <c r="EC239" s="254"/>
      <c r="ED239" s="254"/>
      <c r="EE239" s="254"/>
      <c r="EF239" s="254"/>
      <c r="EG239" s="254"/>
      <c r="EH239" s="254"/>
      <c r="EI239" s="254"/>
      <c r="EJ239" s="254"/>
      <c r="EK239" s="254"/>
      <c r="EL239" s="254"/>
      <c r="EM239" s="254"/>
      <c r="EN239" s="254"/>
      <c r="EO239" s="254"/>
      <c r="EP239" s="254"/>
      <c r="EQ239" s="254"/>
      <c r="ER239" s="254"/>
      <c r="ES239" s="254"/>
      <c r="ET239" s="254"/>
      <c r="EU239" s="254"/>
      <c r="EV239" s="254"/>
      <c r="EW239" s="254"/>
      <c r="EX239" s="254"/>
      <c r="EY239" s="254"/>
      <c r="EZ239" s="254"/>
      <c r="FA239" s="254"/>
      <c r="FB239" s="254"/>
      <c r="FC239" s="254"/>
      <c r="FD239" s="254"/>
      <c r="FE239" s="254"/>
      <c r="FF239" s="254"/>
      <c r="FG239" s="254"/>
      <c r="FH239" s="254"/>
      <c r="FI239" s="254"/>
      <c r="FJ239" s="254"/>
      <c r="FK239" s="254"/>
      <c r="FL239" s="254"/>
      <c r="FM239" s="254"/>
      <c r="FN239" s="254"/>
      <c r="FO239" s="254"/>
      <c r="FP239" s="254"/>
      <c r="FQ239" s="254"/>
      <c r="FR239" s="254"/>
      <c r="FS239" s="254"/>
      <c r="FT239" s="254"/>
      <c r="FU239" s="254"/>
      <c r="FV239" s="254"/>
      <c r="FW239" s="254"/>
      <c r="FX239" s="254"/>
      <c r="FY239" s="254"/>
      <c r="FZ239" s="254"/>
      <c r="GA239" s="254"/>
      <c r="GB239" s="254"/>
      <c r="GC239" s="254"/>
      <c r="GD239" s="254"/>
      <c r="GE239" s="254"/>
      <c r="GF239" s="254"/>
      <c r="GG239" s="254"/>
    </row>
    <row r="240" spans="1:189" s="254" customFormat="1" x14ac:dyDescent="0.25">
      <c r="A240" s="259" t="s">
        <v>487</v>
      </c>
      <c r="B240" s="260">
        <f t="shared" si="287"/>
        <v>4970</v>
      </c>
      <c r="C240" s="260">
        <f t="shared" si="287"/>
        <v>4970</v>
      </c>
      <c r="D240" s="260">
        <f t="shared" si="287"/>
        <v>0</v>
      </c>
      <c r="E240" s="260"/>
      <c r="F240" s="260"/>
      <c r="G240" s="260">
        <f t="shared" si="297"/>
        <v>0</v>
      </c>
      <c r="H240" s="260"/>
      <c r="I240" s="260"/>
      <c r="J240" s="260">
        <f t="shared" si="133"/>
        <v>0</v>
      </c>
      <c r="K240" s="260">
        <f>4970-2500</f>
        <v>2470</v>
      </c>
      <c r="L240" s="260">
        <f>4970-2500</f>
        <v>2470</v>
      </c>
      <c r="M240" s="260">
        <f t="shared" si="134"/>
        <v>0</v>
      </c>
      <c r="N240" s="260"/>
      <c r="O240" s="260"/>
      <c r="P240" s="260">
        <f t="shared" si="135"/>
        <v>0</v>
      </c>
      <c r="Q240" s="260"/>
      <c r="R240" s="260"/>
      <c r="S240" s="260">
        <f t="shared" si="136"/>
        <v>0</v>
      </c>
      <c r="T240" s="260"/>
      <c r="U240" s="260"/>
      <c r="V240" s="260">
        <f t="shared" si="137"/>
        <v>0</v>
      </c>
      <c r="W240" s="260">
        <v>2500</v>
      </c>
      <c r="X240" s="260">
        <v>2500</v>
      </c>
      <c r="Y240" s="260">
        <f t="shared" si="138"/>
        <v>0</v>
      </c>
      <c r="Z240" s="260"/>
      <c r="AA240" s="260"/>
      <c r="AB240" s="260">
        <f t="shared" si="139"/>
        <v>0</v>
      </c>
    </row>
    <row r="241" spans="1:189" s="254" customFormat="1" ht="31.5" x14ac:dyDescent="0.25">
      <c r="A241" s="259" t="s">
        <v>497</v>
      </c>
      <c r="B241" s="260">
        <f t="shared" si="287"/>
        <v>5790</v>
      </c>
      <c r="C241" s="260">
        <f t="shared" si="287"/>
        <v>5790</v>
      </c>
      <c r="D241" s="260">
        <f t="shared" si="287"/>
        <v>0</v>
      </c>
      <c r="E241" s="260"/>
      <c r="F241" s="260"/>
      <c r="G241" s="260">
        <f t="shared" si="297"/>
        <v>0</v>
      </c>
      <c r="H241" s="260"/>
      <c r="I241" s="260"/>
      <c r="J241" s="260">
        <f t="shared" si="133"/>
        <v>0</v>
      </c>
      <c r="K241" s="260">
        <v>3290</v>
      </c>
      <c r="L241" s="260">
        <v>3290</v>
      </c>
      <c r="M241" s="260">
        <f t="shared" si="134"/>
        <v>0</v>
      </c>
      <c r="N241" s="260"/>
      <c r="O241" s="260"/>
      <c r="P241" s="260">
        <f t="shared" si="135"/>
        <v>0</v>
      </c>
      <c r="Q241" s="260"/>
      <c r="R241" s="260"/>
      <c r="S241" s="260">
        <f t="shared" si="136"/>
        <v>0</v>
      </c>
      <c r="T241" s="260"/>
      <c r="U241" s="260"/>
      <c r="V241" s="260">
        <f t="shared" si="137"/>
        <v>0</v>
      </c>
      <c r="W241" s="260">
        <v>2500</v>
      </c>
      <c r="X241" s="260">
        <v>2500</v>
      </c>
      <c r="Y241" s="260">
        <f t="shared" si="138"/>
        <v>0</v>
      </c>
      <c r="Z241" s="260"/>
      <c r="AA241" s="260"/>
      <c r="AB241" s="260">
        <f t="shared" si="139"/>
        <v>0</v>
      </c>
    </row>
    <row r="242" spans="1:189" s="254" customFormat="1" ht="31.5" x14ac:dyDescent="0.25">
      <c r="A242" s="259" t="s">
        <v>492</v>
      </c>
      <c r="B242" s="260">
        <f t="shared" si="287"/>
        <v>5261</v>
      </c>
      <c r="C242" s="260">
        <f t="shared" si="287"/>
        <v>5261</v>
      </c>
      <c r="D242" s="260">
        <f t="shared" si="287"/>
        <v>0</v>
      </c>
      <c r="E242" s="260"/>
      <c r="F242" s="260"/>
      <c r="G242" s="260">
        <f t="shared" si="297"/>
        <v>0</v>
      </c>
      <c r="H242" s="260"/>
      <c r="I242" s="260"/>
      <c r="J242" s="260">
        <f t="shared" si="133"/>
        <v>0</v>
      </c>
      <c r="K242" s="260">
        <v>5261</v>
      </c>
      <c r="L242" s="260">
        <v>5261</v>
      </c>
      <c r="M242" s="260">
        <f t="shared" si="134"/>
        <v>0</v>
      </c>
      <c r="N242" s="260"/>
      <c r="O242" s="260"/>
      <c r="P242" s="260">
        <f t="shared" si="135"/>
        <v>0</v>
      </c>
      <c r="Q242" s="260"/>
      <c r="R242" s="260"/>
      <c r="S242" s="260">
        <f t="shared" si="136"/>
        <v>0</v>
      </c>
      <c r="T242" s="260"/>
      <c r="U242" s="260"/>
      <c r="V242" s="260">
        <f t="shared" si="137"/>
        <v>0</v>
      </c>
      <c r="W242" s="260"/>
      <c r="X242" s="260"/>
      <c r="Y242" s="260">
        <f t="shared" si="138"/>
        <v>0</v>
      </c>
      <c r="Z242" s="260"/>
      <c r="AA242" s="260"/>
      <c r="AB242" s="260">
        <f t="shared" si="139"/>
        <v>0</v>
      </c>
    </row>
    <row r="243" spans="1:189" s="254" customFormat="1" x14ac:dyDescent="0.25">
      <c r="A243" s="259" t="s">
        <v>558</v>
      </c>
      <c r="B243" s="260">
        <f t="shared" ref="B243" si="311">E243+H243+K243+N243+Q243+T243+Z243+W243</f>
        <v>0</v>
      </c>
      <c r="C243" s="260">
        <f t="shared" ref="C243" si="312">F243+I243+L243+O243+R243+U243+AA243+X243</f>
        <v>4829</v>
      </c>
      <c r="D243" s="260">
        <f t="shared" ref="D243" si="313">G243+J243+M243+P243+S243+V243+AB243+Y243</f>
        <v>4829</v>
      </c>
      <c r="E243" s="260"/>
      <c r="F243" s="260"/>
      <c r="G243" s="260">
        <f t="shared" ref="G243" si="314">F243-E243</f>
        <v>0</v>
      </c>
      <c r="H243" s="260"/>
      <c r="I243" s="260"/>
      <c r="J243" s="260">
        <f t="shared" ref="J243" si="315">I243-H243</f>
        <v>0</v>
      </c>
      <c r="K243" s="260">
        <v>0</v>
      </c>
      <c r="L243" s="260">
        <v>2349</v>
      </c>
      <c r="M243" s="260">
        <f t="shared" ref="M243" si="316">L243-K243</f>
        <v>2349</v>
      </c>
      <c r="N243" s="260"/>
      <c r="O243" s="260"/>
      <c r="P243" s="260">
        <f t="shared" ref="P243" si="317">O243-N243</f>
        <v>0</v>
      </c>
      <c r="Q243" s="260"/>
      <c r="R243" s="260"/>
      <c r="S243" s="260">
        <f t="shared" ref="S243" si="318">R243-Q243</f>
        <v>0</v>
      </c>
      <c r="T243" s="260"/>
      <c r="U243" s="260"/>
      <c r="V243" s="260">
        <f t="shared" ref="V243" si="319">U243-T243</f>
        <v>0</v>
      </c>
      <c r="W243" s="260">
        <v>0</v>
      </c>
      <c r="X243" s="260">
        <f>4829-2349</f>
        <v>2480</v>
      </c>
      <c r="Y243" s="260">
        <f t="shared" ref="Y243" si="320">X243-W243</f>
        <v>2480</v>
      </c>
      <c r="Z243" s="260"/>
      <c r="AA243" s="260"/>
      <c r="AB243" s="260">
        <f t="shared" ref="AB243" si="321">AA243-Z243</f>
        <v>0</v>
      </c>
    </row>
    <row r="244" spans="1:189" s="254" customFormat="1" ht="31.5" x14ac:dyDescent="0.25">
      <c r="A244" s="259" t="s">
        <v>553</v>
      </c>
      <c r="B244" s="260">
        <f t="shared" si="287"/>
        <v>2754</v>
      </c>
      <c r="C244" s="260">
        <f t="shared" si="287"/>
        <v>2754</v>
      </c>
      <c r="D244" s="260">
        <f t="shared" si="287"/>
        <v>0</v>
      </c>
      <c r="E244" s="260"/>
      <c r="F244" s="260"/>
      <c r="G244" s="260">
        <f t="shared" si="297"/>
        <v>0</v>
      </c>
      <c r="H244" s="260"/>
      <c r="I244" s="260"/>
      <c r="J244" s="260">
        <f t="shared" si="133"/>
        <v>0</v>
      </c>
      <c r="K244" s="260">
        <v>2754</v>
      </c>
      <c r="L244" s="260">
        <v>2754</v>
      </c>
      <c r="M244" s="260">
        <f t="shared" si="134"/>
        <v>0</v>
      </c>
      <c r="N244" s="260"/>
      <c r="O244" s="260"/>
      <c r="P244" s="260">
        <f t="shared" si="135"/>
        <v>0</v>
      </c>
      <c r="Q244" s="260"/>
      <c r="R244" s="260"/>
      <c r="S244" s="260">
        <f t="shared" si="136"/>
        <v>0</v>
      </c>
      <c r="T244" s="260"/>
      <c r="U244" s="260"/>
      <c r="V244" s="260">
        <f t="shared" si="137"/>
        <v>0</v>
      </c>
      <c r="W244" s="260"/>
      <c r="X244" s="260"/>
      <c r="Y244" s="260">
        <f t="shared" si="138"/>
        <v>0</v>
      </c>
      <c r="Z244" s="260"/>
      <c r="AA244" s="260"/>
      <c r="AB244" s="260">
        <f t="shared" si="139"/>
        <v>0</v>
      </c>
    </row>
    <row r="245" spans="1:189" s="254" customFormat="1" ht="31.5" x14ac:dyDescent="0.25">
      <c r="A245" s="259" t="s">
        <v>552</v>
      </c>
      <c r="B245" s="260">
        <f t="shared" ref="B245" si="322">E245+H245+K245+N245+Q245+T245+Z245+W245</f>
        <v>0</v>
      </c>
      <c r="C245" s="260">
        <f t="shared" ref="C245" si="323">F245+I245+L245+O245+R245+U245+AA245+X245</f>
        <v>1896</v>
      </c>
      <c r="D245" s="260">
        <f t="shared" ref="D245" si="324">G245+J245+M245+P245+S245+V245+AB245+Y245</f>
        <v>1896</v>
      </c>
      <c r="E245" s="260"/>
      <c r="F245" s="260"/>
      <c r="G245" s="260">
        <f t="shared" ref="G245" si="325">F245-E245</f>
        <v>0</v>
      </c>
      <c r="H245" s="260"/>
      <c r="I245" s="260"/>
      <c r="J245" s="260">
        <f t="shared" ref="J245" si="326">I245-H245</f>
        <v>0</v>
      </c>
      <c r="K245" s="260">
        <v>0</v>
      </c>
      <c r="L245" s="260">
        <v>1896</v>
      </c>
      <c r="M245" s="260">
        <f t="shared" ref="M245" si="327">L245-K245</f>
        <v>1896</v>
      </c>
      <c r="N245" s="260"/>
      <c r="O245" s="260"/>
      <c r="P245" s="260">
        <f t="shared" ref="P245" si="328">O245-N245</f>
        <v>0</v>
      </c>
      <c r="Q245" s="260"/>
      <c r="R245" s="260"/>
      <c r="S245" s="260">
        <f t="shared" ref="S245" si="329">R245-Q245</f>
        <v>0</v>
      </c>
      <c r="T245" s="260"/>
      <c r="U245" s="260"/>
      <c r="V245" s="260">
        <f t="shared" ref="V245" si="330">U245-T245</f>
        <v>0</v>
      </c>
      <c r="W245" s="260"/>
      <c r="X245" s="260"/>
      <c r="Y245" s="260">
        <f t="shared" ref="Y245" si="331">X245-W245</f>
        <v>0</v>
      </c>
      <c r="Z245" s="260"/>
      <c r="AA245" s="260"/>
      <c r="AB245" s="260">
        <f t="shared" ref="AB245" si="332">AA245-Z245</f>
        <v>0</v>
      </c>
    </row>
    <row r="246" spans="1:189" s="254" customFormat="1" ht="31.5" x14ac:dyDescent="0.25">
      <c r="A246" s="259" t="s">
        <v>554</v>
      </c>
      <c r="B246" s="260">
        <f t="shared" ref="B246" si="333">E246+H246+K246+N246+Q246+T246+Z246+W246</f>
        <v>0</v>
      </c>
      <c r="C246" s="260">
        <f t="shared" ref="C246" si="334">F246+I246+L246+O246+R246+U246+AA246+X246</f>
        <v>5131</v>
      </c>
      <c r="D246" s="260">
        <f t="shared" ref="D246" si="335">G246+J246+M246+P246+S246+V246+AB246+Y246</f>
        <v>5131</v>
      </c>
      <c r="E246" s="260"/>
      <c r="F246" s="260"/>
      <c r="G246" s="260">
        <f t="shared" ref="G246" si="336">F246-E246</f>
        <v>0</v>
      </c>
      <c r="H246" s="260"/>
      <c r="I246" s="260"/>
      <c r="J246" s="260">
        <f t="shared" ref="J246" si="337">I246-H246</f>
        <v>0</v>
      </c>
      <c r="K246" s="260">
        <v>0</v>
      </c>
      <c r="L246" s="260">
        <v>0</v>
      </c>
      <c r="M246" s="260">
        <f t="shared" ref="M246" si="338">L246-K246</f>
        <v>0</v>
      </c>
      <c r="N246" s="260"/>
      <c r="O246" s="260"/>
      <c r="P246" s="260">
        <f t="shared" ref="P246" si="339">O246-N246</f>
        <v>0</v>
      </c>
      <c r="Q246" s="260"/>
      <c r="R246" s="260"/>
      <c r="S246" s="260">
        <f t="shared" ref="S246" si="340">R246-Q246</f>
        <v>0</v>
      </c>
      <c r="T246" s="260"/>
      <c r="U246" s="260"/>
      <c r="V246" s="260">
        <f t="shared" ref="V246" si="341">U246-T246</f>
        <v>0</v>
      </c>
      <c r="W246" s="260">
        <v>0</v>
      </c>
      <c r="X246" s="260">
        <v>5131</v>
      </c>
      <c r="Y246" s="260">
        <f t="shared" ref="Y246" si="342">X246-W246</f>
        <v>5131</v>
      </c>
      <c r="Z246" s="260"/>
      <c r="AA246" s="260"/>
      <c r="AB246" s="260">
        <f t="shared" ref="AB246" si="343">AA246-Z246</f>
        <v>0</v>
      </c>
    </row>
    <row r="247" spans="1:189" s="254" customFormat="1" ht="31.5" x14ac:dyDescent="0.25">
      <c r="A247" s="259" t="s">
        <v>555</v>
      </c>
      <c r="B247" s="260">
        <f t="shared" ref="B247" si="344">E247+H247+K247+N247+Q247+T247+Z247+W247</f>
        <v>0</v>
      </c>
      <c r="C247" s="260">
        <f t="shared" ref="C247" si="345">F247+I247+L247+O247+R247+U247+AA247+X247</f>
        <v>5374</v>
      </c>
      <c r="D247" s="260">
        <f t="shared" ref="D247" si="346">G247+J247+M247+P247+S247+V247+AB247+Y247</f>
        <v>5374</v>
      </c>
      <c r="E247" s="260"/>
      <c r="F247" s="260"/>
      <c r="G247" s="260">
        <f t="shared" ref="G247" si="347">F247-E247</f>
        <v>0</v>
      </c>
      <c r="H247" s="260"/>
      <c r="I247" s="260"/>
      <c r="J247" s="260">
        <f t="shared" ref="J247" si="348">I247-H247</f>
        <v>0</v>
      </c>
      <c r="K247" s="260">
        <v>0</v>
      </c>
      <c r="L247" s="260">
        <v>0</v>
      </c>
      <c r="M247" s="260">
        <f t="shared" ref="M247" si="349">L247-K247</f>
        <v>0</v>
      </c>
      <c r="N247" s="260"/>
      <c r="O247" s="260"/>
      <c r="P247" s="260">
        <f t="shared" ref="P247" si="350">O247-N247</f>
        <v>0</v>
      </c>
      <c r="Q247" s="260">
        <v>0</v>
      </c>
      <c r="R247" s="260">
        <v>5374</v>
      </c>
      <c r="S247" s="260">
        <f t="shared" ref="S247" si="351">R247-Q247</f>
        <v>5374</v>
      </c>
      <c r="T247" s="260"/>
      <c r="U247" s="260"/>
      <c r="V247" s="260">
        <f t="shared" ref="V247" si="352">U247-T247</f>
        <v>0</v>
      </c>
      <c r="W247" s="260">
        <v>0</v>
      </c>
      <c r="X247" s="260">
        <v>0</v>
      </c>
      <c r="Y247" s="260">
        <f t="shared" ref="Y247" si="353">X247-W247</f>
        <v>0</v>
      </c>
      <c r="Z247" s="260"/>
      <c r="AA247" s="260"/>
      <c r="AB247" s="260">
        <f t="shared" ref="AB247" si="354">AA247-Z247</f>
        <v>0</v>
      </c>
    </row>
    <row r="248" spans="1:189" s="254" customFormat="1" x14ac:dyDescent="0.25">
      <c r="A248" s="259" t="s">
        <v>494</v>
      </c>
      <c r="B248" s="260">
        <f t="shared" si="287"/>
        <v>4550</v>
      </c>
      <c r="C248" s="260">
        <f t="shared" si="287"/>
        <v>4550</v>
      </c>
      <c r="D248" s="260">
        <f t="shared" si="287"/>
        <v>0</v>
      </c>
      <c r="E248" s="260"/>
      <c r="F248" s="260"/>
      <c r="G248" s="260">
        <f t="shared" si="297"/>
        <v>0</v>
      </c>
      <c r="H248" s="260"/>
      <c r="I248" s="260"/>
      <c r="J248" s="260">
        <f t="shared" si="133"/>
        <v>0</v>
      </c>
      <c r="K248" s="260"/>
      <c r="L248" s="260"/>
      <c r="M248" s="260">
        <f t="shared" si="134"/>
        <v>0</v>
      </c>
      <c r="N248" s="260"/>
      <c r="O248" s="260"/>
      <c r="P248" s="260">
        <f t="shared" si="135"/>
        <v>0</v>
      </c>
      <c r="Q248" s="260">
        <v>4550</v>
      </c>
      <c r="R248" s="260">
        <v>4550</v>
      </c>
      <c r="S248" s="260">
        <f t="shared" si="136"/>
        <v>0</v>
      </c>
      <c r="T248" s="260"/>
      <c r="U248" s="260"/>
      <c r="V248" s="260">
        <f t="shared" si="137"/>
        <v>0</v>
      </c>
      <c r="W248" s="260"/>
      <c r="X248" s="260"/>
      <c r="Y248" s="260">
        <f t="shared" si="138"/>
        <v>0</v>
      </c>
      <c r="Z248" s="260"/>
      <c r="AA248" s="260"/>
      <c r="AB248" s="260">
        <f t="shared" si="139"/>
        <v>0</v>
      </c>
    </row>
    <row r="249" spans="1:189" s="254" customFormat="1" x14ac:dyDescent="0.25">
      <c r="A249" s="259" t="s">
        <v>493</v>
      </c>
      <c r="B249" s="260">
        <f t="shared" si="287"/>
        <v>2204</v>
      </c>
      <c r="C249" s="260">
        <f t="shared" si="287"/>
        <v>2204</v>
      </c>
      <c r="D249" s="260">
        <f t="shared" si="287"/>
        <v>0</v>
      </c>
      <c r="E249" s="260"/>
      <c r="F249" s="260"/>
      <c r="G249" s="260">
        <f t="shared" si="297"/>
        <v>0</v>
      </c>
      <c r="H249" s="260"/>
      <c r="I249" s="260"/>
      <c r="J249" s="260">
        <f t="shared" si="133"/>
        <v>0</v>
      </c>
      <c r="K249" s="260">
        <v>2204</v>
      </c>
      <c r="L249" s="260">
        <v>2204</v>
      </c>
      <c r="M249" s="260">
        <f t="shared" si="134"/>
        <v>0</v>
      </c>
      <c r="N249" s="260"/>
      <c r="O249" s="260"/>
      <c r="P249" s="260">
        <f t="shared" si="135"/>
        <v>0</v>
      </c>
      <c r="Q249" s="260"/>
      <c r="R249" s="260"/>
      <c r="S249" s="260">
        <f t="shared" si="136"/>
        <v>0</v>
      </c>
      <c r="T249" s="260"/>
      <c r="U249" s="260"/>
      <c r="V249" s="260">
        <f t="shared" si="137"/>
        <v>0</v>
      </c>
      <c r="W249" s="260"/>
      <c r="X249" s="260"/>
      <c r="Y249" s="260">
        <f t="shared" si="138"/>
        <v>0</v>
      </c>
      <c r="Z249" s="260"/>
      <c r="AA249" s="260"/>
      <c r="AB249" s="260">
        <f t="shared" si="139"/>
        <v>0</v>
      </c>
    </row>
    <row r="250" spans="1:189" s="254" customFormat="1" ht="31.5" x14ac:dyDescent="0.25">
      <c r="A250" s="259" t="s">
        <v>122</v>
      </c>
      <c r="B250" s="260">
        <f t="shared" si="287"/>
        <v>15000</v>
      </c>
      <c r="C250" s="260">
        <f t="shared" si="287"/>
        <v>15000</v>
      </c>
      <c r="D250" s="260">
        <f t="shared" si="287"/>
        <v>0</v>
      </c>
      <c r="E250" s="260"/>
      <c r="F250" s="260"/>
      <c r="G250" s="260">
        <f t="shared" si="297"/>
        <v>0</v>
      </c>
      <c r="H250" s="260"/>
      <c r="I250" s="260"/>
      <c r="J250" s="260">
        <f t="shared" si="133"/>
        <v>0</v>
      </c>
      <c r="K250" s="260">
        <v>15000</v>
      </c>
      <c r="L250" s="260">
        <v>15000</v>
      </c>
      <c r="M250" s="260">
        <f t="shared" si="134"/>
        <v>0</v>
      </c>
      <c r="N250" s="260"/>
      <c r="O250" s="260"/>
      <c r="P250" s="260">
        <f t="shared" si="135"/>
        <v>0</v>
      </c>
      <c r="Q250" s="260"/>
      <c r="R250" s="260"/>
      <c r="S250" s="260">
        <f t="shared" si="136"/>
        <v>0</v>
      </c>
      <c r="T250" s="260"/>
      <c r="U250" s="260"/>
      <c r="V250" s="260">
        <f t="shared" si="137"/>
        <v>0</v>
      </c>
      <c r="W250" s="260"/>
      <c r="X250" s="260"/>
      <c r="Y250" s="260">
        <f t="shared" si="138"/>
        <v>0</v>
      </c>
      <c r="Z250" s="260"/>
      <c r="AA250" s="260"/>
      <c r="AB250" s="260">
        <f t="shared" si="139"/>
        <v>0</v>
      </c>
    </row>
    <row r="251" spans="1:189" s="254" customFormat="1" x14ac:dyDescent="0.25">
      <c r="A251" s="252" t="s">
        <v>123</v>
      </c>
      <c r="B251" s="253">
        <f t="shared" si="287"/>
        <v>64768</v>
      </c>
      <c r="C251" s="253">
        <f t="shared" si="287"/>
        <v>93497</v>
      </c>
      <c r="D251" s="253">
        <f t="shared" si="287"/>
        <v>28729</v>
      </c>
      <c r="E251" s="253">
        <f>SUM(E252:E263)</f>
        <v>0</v>
      </c>
      <c r="F251" s="253">
        <f>SUM(F252:F263)</f>
        <v>0</v>
      </c>
      <c r="G251" s="253">
        <f t="shared" si="297"/>
        <v>0</v>
      </c>
      <c r="H251" s="253">
        <f t="shared" ref="H251:I251" si="355">SUM(H252:H263)</f>
        <v>0</v>
      </c>
      <c r="I251" s="253">
        <f t="shared" si="355"/>
        <v>0</v>
      </c>
      <c r="J251" s="253">
        <f t="shared" si="133"/>
        <v>0</v>
      </c>
      <c r="K251" s="253">
        <f t="shared" ref="K251:L251" si="356">SUM(K252:K263)</f>
        <v>38408</v>
      </c>
      <c r="L251" s="253">
        <f t="shared" si="356"/>
        <v>67137</v>
      </c>
      <c r="M251" s="253">
        <f t="shared" si="134"/>
        <v>28729</v>
      </c>
      <c r="N251" s="253">
        <f t="shared" ref="N251:O251" si="357">SUM(N252:N263)</f>
        <v>1663</v>
      </c>
      <c r="O251" s="253">
        <f t="shared" si="357"/>
        <v>1663</v>
      </c>
      <c r="P251" s="253">
        <f t="shared" si="135"/>
        <v>0</v>
      </c>
      <c r="Q251" s="253">
        <f t="shared" ref="Q251:R251" si="358">SUM(Q252:Q263)</f>
        <v>24697</v>
      </c>
      <c r="R251" s="253">
        <f t="shared" si="358"/>
        <v>24697</v>
      </c>
      <c r="S251" s="253">
        <f t="shared" si="136"/>
        <v>0</v>
      </c>
      <c r="T251" s="253">
        <f t="shared" ref="T251:U251" si="359">SUM(T252:T263)</f>
        <v>0</v>
      </c>
      <c r="U251" s="253">
        <f t="shared" si="359"/>
        <v>0</v>
      </c>
      <c r="V251" s="253">
        <f t="shared" si="137"/>
        <v>0</v>
      </c>
      <c r="W251" s="253">
        <f t="shared" ref="W251:X251" si="360">SUM(W252:W263)</f>
        <v>0</v>
      </c>
      <c r="X251" s="253">
        <f t="shared" si="360"/>
        <v>0</v>
      </c>
      <c r="Y251" s="253">
        <f t="shared" si="138"/>
        <v>0</v>
      </c>
      <c r="Z251" s="253">
        <f t="shared" ref="Z251:AA251" si="361">SUM(Z252:Z263)</f>
        <v>0</v>
      </c>
      <c r="AA251" s="253">
        <f t="shared" si="361"/>
        <v>0</v>
      </c>
      <c r="AB251" s="253">
        <f t="shared" si="139"/>
        <v>0</v>
      </c>
      <c r="AC251" s="251"/>
      <c r="AD251" s="251"/>
      <c r="AE251" s="251"/>
      <c r="AF251" s="251"/>
      <c r="AG251" s="251"/>
      <c r="AH251" s="251"/>
      <c r="AI251" s="251"/>
      <c r="AJ251" s="251"/>
      <c r="AK251" s="251"/>
      <c r="AL251" s="251"/>
      <c r="AM251" s="251"/>
      <c r="AN251" s="251"/>
      <c r="AO251" s="251"/>
      <c r="AP251" s="251"/>
      <c r="AQ251" s="251"/>
      <c r="AR251" s="251"/>
      <c r="AS251" s="251"/>
      <c r="AT251" s="251"/>
      <c r="AU251" s="251"/>
      <c r="AV251" s="251"/>
      <c r="AW251" s="251"/>
      <c r="AX251" s="251"/>
      <c r="AY251" s="251"/>
      <c r="AZ251" s="251"/>
      <c r="BA251" s="251"/>
      <c r="BB251" s="251"/>
      <c r="BC251" s="251"/>
      <c r="BD251" s="251"/>
      <c r="BE251" s="251"/>
      <c r="BF251" s="251"/>
      <c r="BG251" s="251"/>
      <c r="BH251" s="251"/>
      <c r="BI251" s="251"/>
      <c r="BJ251" s="251"/>
      <c r="BK251" s="251"/>
      <c r="BL251" s="251"/>
      <c r="BM251" s="251"/>
      <c r="BN251" s="251"/>
      <c r="BO251" s="251"/>
      <c r="BP251" s="251"/>
      <c r="BQ251" s="251"/>
      <c r="BR251" s="251"/>
      <c r="BS251" s="251"/>
      <c r="BT251" s="251"/>
      <c r="BU251" s="251"/>
      <c r="BV251" s="251"/>
      <c r="BW251" s="251"/>
      <c r="BX251" s="251"/>
      <c r="BY251" s="251"/>
      <c r="BZ251" s="251"/>
      <c r="CA251" s="251"/>
      <c r="CB251" s="251"/>
      <c r="CC251" s="251"/>
      <c r="CD251" s="251"/>
      <c r="CE251" s="251"/>
      <c r="CF251" s="251"/>
      <c r="CG251" s="251"/>
      <c r="CH251" s="251"/>
      <c r="CI251" s="251"/>
      <c r="CJ251" s="251"/>
      <c r="CK251" s="251"/>
      <c r="CL251" s="251"/>
      <c r="CM251" s="251"/>
      <c r="CN251" s="251"/>
      <c r="CO251" s="251"/>
      <c r="CP251" s="251"/>
      <c r="CQ251" s="251"/>
      <c r="CR251" s="251"/>
      <c r="CS251" s="251"/>
      <c r="CT251" s="251"/>
      <c r="CU251" s="251"/>
      <c r="CV251" s="251"/>
      <c r="CW251" s="251"/>
      <c r="CX251" s="251"/>
      <c r="CY251" s="251"/>
      <c r="CZ251" s="251"/>
      <c r="DA251" s="251"/>
      <c r="DB251" s="251"/>
      <c r="DC251" s="251"/>
      <c r="DD251" s="251"/>
      <c r="DE251" s="251"/>
      <c r="DF251" s="251"/>
      <c r="DG251" s="251"/>
      <c r="DH251" s="251"/>
      <c r="DI251" s="251"/>
      <c r="DJ251" s="251"/>
      <c r="DK251" s="251"/>
      <c r="DL251" s="251"/>
      <c r="DM251" s="251"/>
      <c r="DN251" s="251"/>
      <c r="DO251" s="251"/>
      <c r="DP251" s="251"/>
      <c r="DQ251" s="251"/>
      <c r="DR251" s="251"/>
      <c r="DS251" s="251"/>
      <c r="DT251" s="251"/>
      <c r="DU251" s="251"/>
      <c r="DV251" s="251"/>
      <c r="DW251" s="251"/>
      <c r="DX251" s="251"/>
      <c r="DY251" s="251"/>
      <c r="DZ251" s="251"/>
      <c r="EA251" s="251"/>
      <c r="EB251" s="251"/>
      <c r="EC251" s="251"/>
      <c r="ED251" s="251"/>
      <c r="EE251" s="251"/>
      <c r="EF251" s="251"/>
      <c r="EG251" s="251"/>
      <c r="EH251" s="251"/>
      <c r="EI251" s="251"/>
      <c r="EJ251" s="251"/>
      <c r="EK251" s="251"/>
      <c r="EL251" s="251"/>
      <c r="EM251" s="251"/>
      <c r="EN251" s="251"/>
      <c r="EO251" s="251"/>
      <c r="EP251" s="251"/>
      <c r="EQ251" s="251"/>
      <c r="ER251" s="251"/>
      <c r="ES251" s="251"/>
      <c r="ET251" s="251"/>
      <c r="EU251" s="251"/>
      <c r="EV251" s="251"/>
      <c r="EW251" s="251"/>
      <c r="EX251" s="251"/>
      <c r="EY251" s="251"/>
      <c r="EZ251" s="251"/>
      <c r="FA251" s="251"/>
      <c r="FB251" s="251"/>
      <c r="FC251" s="251"/>
      <c r="FD251" s="251"/>
      <c r="FE251" s="251"/>
      <c r="FF251" s="251"/>
      <c r="FG251" s="251"/>
      <c r="FH251" s="251"/>
      <c r="FI251" s="251"/>
      <c r="FJ251" s="251"/>
      <c r="FK251" s="251"/>
      <c r="FL251" s="251"/>
      <c r="FM251" s="251"/>
      <c r="FN251" s="251"/>
      <c r="FO251" s="251"/>
      <c r="FP251" s="251"/>
      <c r="FQ251" s="251"/>
      <c r="FR251" s="251"/>
      <c r="FS251" s="251"/>
      <c r="FT251" s="251"/>
      <c r="FU251" s="251"/>
      <c r="FV251" s="251"/>
      <c r="FW251" s="251"/>
      <c r="FX251" s="251"/>
      <c r="FY251" s="251"/>
      <c r="FZ251" s="251"/>
      <c r="GA251" s="251"/>
      <c r="GB251" s="251"/>
      <c r="GC251" s="251"/>
      <c r="GD251" s="251"/>
      <c r="GE251" s="251"/>
      <c r="GF251" s="251"/>
      <c r="GG251" s="251"/>
    </row>
    <row r="252" spans="1:189" s="254" customFormat="1" ht="31.5" x14ac:dyDescent="0.25">
      <c r="A252" s="259" t="s">
        <v>124</v>
      </c>
      <c r="B252" s="260">
        <f t="shared" si="287"/>
        <v>7970</v>
      </c>
      <c r="C252" s="260">
        <f t="shared" si="287"/>
        <v>7970</v>
      </c>
      <c r="D252" s="260">
        <f t="shared" si="287"/>
        <v>0</v>
      </c>
      <c r="E252" s="260"/>
      <c r="F252" s="260"/>
      <c r="G252" s="260">
        <f t="shared" si="297"/>
        <v>0</v>
      </c>
      <c r="H252" s="260"/>
      <c r="I252" s="260"/>
      <c r="J252" s="260">
        <f t="shared" si="133"/>
        <v>0</v>
      </c>
      <c r="K252" s="260">
        <v>7970</v>
      </c>
      <c r="L252" s="260">
        <v>7970</v>
      </c>
      <c r="M252" s="260">
        <f t="shared" si="134"/>
        <v>0</v>
      </c>
      <c r="N252" s="260"/>
      <c r="O252" s="260"/>
      <c r="P252" s="260">
        <f t="shared" si="135"/>
        <v>0</v>
      </c>
      <c r="Q252" s="260"/>
      <c r="R252" s="260"/>
      <c r="S252" s="260">
        <f t="shared" si="136"/>
        <v>0</v>
      </c>
      <c r="T252" s="260"/>
      <c r="U252" s="260"/>
      <c r="V252" s="260">
        <f t="shared" si="137"/>
        <v>0</v>
      </c>
      <c r="W252" s="260"/>
      <c r="X252" s="260"/>
      <c r="Y252" s="260">
        <f t="shared" si="138"/>
        <v>0</v>
      </c>
      <c r="Z252" s="260"/>
      <c r="AA252" s="260"/>
      <c r="AB252" s="260">
        <f t="shared" si="139"/>
        <v>0</v>
      </c>
    </row>
    <row r="253" spans="1:189" s="254" customFormat="1" x14ac:dyDescent="0.25">
      <c r="A253" s="262" t="s">
        <v>125</v>
      </c>
      <c r="B253" s="260">
        <f t="shared" si="287"/>
        <v>4920</v>
      </c>
      <c r="C253" s="260">
        <f t="shared" si="287"/>
        <v>4920</v>
      </c>
      <c r="D253" s="260">
        <f t="shared" si="287"/>
        <v>0</v>
      </c>
      <c r="E253" s="260"/>
      <c r="F253" s="260"/>
      <c r="G253" s="260">
        <f t="shared" si="297"/>
        <v>0</v>
      </c>
      <c r="H253" s="260"/>
      <c r="I253" s="260"/>
      <c r="J253" s="260">
        <f t="shared" si="133"/>
        <v>0</v>
      </c>
      <c r="K253" s="260">
        <v>4920</v>
      </c>
      <c r="L253" s="260">
        <v>4920</v>
      </c>
      <c r="M253" s="260">
        <f t="shared" si="134"/>
        <v>0</v>
      </c>
      <c r="N253" s="260"/>
      <c r="O253" s="260"/>
      <c r="P253" s="260">
        <f t="shared" si="135"/>
        <v>0</v>
      </c>
      <c r="Q253" s="260"/>
      <c r="R253" s="260"/>
      <c r="S253" s="260">
        <f t="shared" si="136"/>
        <v>0</v>
      </c>
      <c r="T253" s="260"/>
      <c r="U253" s="260"/>
      <c r="V253" s="260">
        <f t="shared" si="137"/>
        <v>0</v>
      </c>
      <c r="W253" s="260"/>
      <c r="X253" s="260"/>
      <c r="Y253" s="260">
        <f t="shared" si="138"/>
        <v>0</v>
      </c>
      <c r="Z253" s="260"/>
      <c r="AA253" s="260"/>
      <c r="AB253" s="260">
        <f t="shared" si="139"/>
        <v>0</v>
      </c>
    </row>
    <row r="254" spans="1:189" s="254" customFormat="1" x14ac:dyDescent="0.25">
      <c r="A254" s="262" t="s">
        <v>126</v>
      </c>
      <c r="B254" s="260">
        <f t="shared" si="287"/>
        <v>4920</v>
      </c>
      <c r="C254" s="260">
        <f t="shared" si="287"/>
        <v>4920</v>
      </c>
      <c r="D254" s="260">
        <f t="shared" si="287"/>
        <v>0</v>
      </c>
      <c r="E254" s="260"/>
      <c r="F254" s="260"/>
      <c r="G254" s="260">
        <f t="shared" si="297"/>
        <v>0</v>
      </c>
      <c r="H254" s="260"/>
      <c r="I254" s="260"/>
      <c r="J254" s="260">
        <f t="shared" si="133"/>
        <v>0</v>
      </c>
      <c r="K254" s="260">
        <v>4920</v>
      </c>
      <c r="L254" s="260">
        <v>4920</v>
      </c>
      <c r="M254" s="260">
        <f t="shared" si="134"/>
        <v>0</v>
      </c>
      <c r="N254" s="260"/>
      <c r="O254" s="260"/>
      <c r="P254" s="260">
        <f t="shared" si="135"/>
        <v>0</v>
      </c>
      <c r="Q254" s="260"/>
      <c r="R254" s="260"/>
      <c r="S254" s="260">
        <f t="shared" si="136"/>
        <v>0</v>
      </c>
      <c r="T254" s="260"/>
      <c r="U254" s="260"/>
      <c r="V254" s="260">
        <f t="shared" si="137"/>
        <v>0</v>
      </c>
      <c r="W254" s="260"/>
      <c r="X254" s="260"/>
      <c r="Y254" s="260">
        <f t="shared" si="138"/>
        <v>0</v>
      </c>
      <c r="Z254" s="260"/>
      <c r="AA254" s="260"/>
      <c r="AB254" s="260">
        <f t="shared" si="139"/>
        <v>0</v>
      </c>
    </row>
    <row r="255" spans="1:189" s="254" customFormat="1" x14ac:dyDescent="0.25">
      <c r="A255" s="262" t="s">
        <v>127</v>
      </c>
      <c r="B255" s="260">
        <f t="shared" si="287"/>
        <v>4920</v>
      </c>
      <c r="C255" s="260">
        <f t="shared" si="287"/>
        <v>4920</v>
      </c>
      <c r="D255" s="260">
        <f t="shared" si="287"/>
        <v>0</v>
      </c>
      <c r="E255" s="260"/>
      <c r="F255" s="260"/>
      <c r="G255" s="260">
        <f t="shared" si="297"/>
        <v>0</v>
      </c>
      <c r="H255" s="260"/>
      <c r="I255" s="260"/>
      <c r="J255" s="260">
        <f t="shared" si="133"/>
        <v>0</v>
      </c>
      <c r="K255" s="260">
        <v>4920</v>
      </c>
      <c r="L255" s="260">
        <v>4920</v>
      </c>
      <c r="M255" s="260">
        <f t="shared" si="134"/>
        <v>0</v>
      </c>
      <c r="N255" s="260"/>
      <c r="O255" s="260"/>
      <c r="P255" s="260">
        <f t="shared" si="135"/>
        <v>0</v>
      </c>
      <c r="Q255" s="260"/>
      <c r="R255" s="260"/>
      <c r="S255" s="260">
        <f t="shared" si="136"/>
        <v>0</v>
      </c>
      <c r="T255" s="260"/>
      <c r="U255" s="260"/>
      <c r="V255" s="260">
        <f t="shared" si="137"/>
        <v>0</v>
      </c>
      <c r="W255" s="260"/>
      <c r="X255" s="260"/>
      <c r="Y255" s="260">
        <f t="shared" si="138"/>
        <v>0</v>
      </c>
      <c r="Z255" s="260"/>
      <c r="AA255" s="260"/>
      <c r="AB255" s="260">
        <f t="shared" si="139"/>
        <v>0</v>
      </c>
    </row>
    <row r="256" spans="1:189" s="254" customFormat="1" ht="31.5" x14ac:dyDescent="0.25">
      <c r="A256" s="262" t="s">
        <v>128</v>
      </c>
      <c r="B256" s="260">
        <f t="shared" si="287"/>
        <v>7066</v>
      </c>
      <c r="C256" s="260">
        <f t="shared" si="287"/>
        <v>7066</v>
      </c>
      <c r="D256" s="260">
        <f t="shared" si="287"/>
        <v>0</v>
      </c>
      <c r="E256" s="260"/>
      <c r="F256" s="260"/>
      <c r="G256" s="260">
        <f t="shared" si="297"/>
        <v>0</v>
      </c>
      <c r="H256" s="260"/>
      <c r="I256" s="260"/>
      <c r="J256" s="260">
        <f t="shared" si="133"/>
        <v>0</v>
      </c>
      <c r="K256" s="260">
        <v>7066</v>
      </c>
      <c r="L256" s="260">
        <v>7066</v>
      </c>
      <c r="M256" s="260">
        <f t="shared" si="134"/>
        <v>0</v>
      </c>
      <c r="N256" s="260"/>
      <c r="O256" s="260"/>
      <c r="P256" s="260">
        <f t="shared" si="135"/>
        <v>0</v>
      </c>
      <c r="Q256" s="260"/>
      <c r="R256" s="260"/>
      <c r="S256" s="260">
        <f t="shared" si="136"/>
        <v>0</v>
      </c>
      <c r="T256" s="260"/>
      <c r="U256" s="260"/>
      <c r="V256" s="260">
        <f t="shared" si="137"/>
        <v>0</v>
      </c>
      <c r="W256" s="260"/>
      <c r="X256" s="260"/>
      <c r="Y256" s="260">
        <f t="shared" si="138"/>
        <v>0</v>
      </c>
      <c r="Z256" s="260"/>
      <c r="AA256" s="260"/>
      <c r="AB256" s="260">
        <f t="shared" si="139"/>
        <v>0</v>
      </c>
    </row>
    <row r="257" spans="1:28" s="254" customFormat="1" x14ac:dyDescent="0.25">
      <c r="A257" s="259" t="s">
        <v>504</v>
      </c>
      <c r="B257" s="260">
        <f t="shared" si="287"/>
        <v>2115</v>
      </c>
      <c r="C257" s="260">
        <f t="shared" si="287"/>
        <v>2115</v>
      </c>
      <c r="D257" s="260">
        <f t="shared" si="287"/>
        <v>0</v>
      </c>
      <c r="E257" s="260"/>
      <c r="F257" s="260"/>
      <c r="G257" s="260">
        <f t="shared" si="297"/>
        <v>0</v>
      </c>
      <c r="H257" s="260"/>
      <c r="I257" s="260"/>
      <c r="J257" s="260">
        <f t="shared" si="133"/>
        <v>0</v>
      </c>
      <c r="K257" s="260">
        <v>2115</v>
      </c>
      <c r="L257" s="260">
        <v>2115</v>
      </c>
      <c r="M257" s="260">
        <f t="shared" si="134"/>
        <v>0</v>
      </c>
      <c r="N257" s="260"/>
      <c r="O257" s="260"/>
      <c r="P257" s="260">
        <f t="shared" si="135"/>
        <v>0</v>
      </c>
      <c r="Q257" s="260"/>
      <c r="R257" s="260"/>
      <c r="S257" s="260">
        <f t="shared" si="136"/>
        <v>0</v>
      </c>
      <c r="T257" s="260"/>
      <c r="U257" s="260"/>
      <c r="V257" s="260">
        <f t="shared" si="137"/>
        <v>0</v>
      </c>
      <c r="W257" s="260"/>
      <c r="X257" s="260"/>
      <c r="Y257" s="260">
        <f t="shared" si="138"/>
        <v>0</v>
      </c>
      <c r="Z257" s="260"/>
      <c r="AA257" s="260"/>
      <c r="AB257" s="260">
        <f t="shared" si="139"/>
        <v>0</v>
      </c>
    </row>
    <row r="258" spans="1:28" s="254" customFormat="1" ht="31.5" x14ac:dyDescent="0.25">
      <c r="A258" s="259" t="s">
        <v>213</v>
      </c>
      <c r="B258" s="260">
        <f t="shared" si="287"/>
        <v>1663</v>
      </c>
      <c r="C258" s="260">
        <f t="shared" si="287"/>
        <v>1663</v>
      </c>
      <c r="D258" s="260">
        <f t="shared" si="287"/>
        <v>0</v>
      </c>
      <c r="E258" s="260"/>
      <c r="F258" s="260"/>
      <c r="G258" s="260">
        <f t="shared" si="297"/>
        <v>0</v>
      </c>
      <c r="H258" s="260"/>
      <c r="I258" s="260"/>
      <c r="J258" s="260">
        <f t="shared" si="133"/>
        <v>0</v>
      </c>
      <c r="K258" s="260"/>
      <c r="L258" s="260"/>
      <c r="M258" s="260">
        <f t="shared" si="134"/>
        <v>0</v>
      </c>
      <c r="N258" s="260">
        <v>1663</v>
      </c>
      <c r="O258" s="260">
        <v>1663</v>
      </c>
      <c r="P258" s="260">
        <f t="shared" si="135"/>
        <v>0</v>
      </c>
      <c r="Q258" s="260"/>
      <c r="R258" s="260"/>
      <c r="S258" s="260">
        <f t="shared" si="136"/>
        <v>0</v>
      </c>
      <c r="T258" s="260"/>
      <c r="U258" s="260"/>
      <c r="V258" s="260">
        <f t="shared" si="137"/>
        <v>0</v>
      </c>
      <c r="W258" s="260"/>
      <c r="X258" s="260"/>
      <c r="Y258" s="260">
        <f t="shared" si="138"/>
        <v>0</v>
      </c>
      <c r="Z258" s="260"/>
      <c r="AA258" s="260"/>
      <c r="AB258" s="260">
        <f t="shared" si="139"/>
        <v>0</v>
      </c>
    </row>
    <row r="259" spans="1:28" s="254" customFormat="1" ht="31.5" x14ac:dyDescent="0.25">
      <c r="A259" s="259" t="s">
        <v>495</v>
      </c>
      <c r="B259" s="260">
        <f t="shared" si="287"/>
        <v>2562</v>
      </c>
      <c r="C259" s="260">
        <f t="shared" si="287"/>
        <v>2562</v>
      </c>
      <c r="D259" s="260">
        <f t="shared" si="287"/>
        <v>0</v>
      </c>
      <c r="E259" s="260"/>
      <c r="F259" s="260"/>
      <c r="G259" s="260">
        <f t="shared" si="297"/>
        <v>0</v>
      </c>
      <c r="H259" s="260"/>
      <c r="I259" s="260"/>
      <c r="J259" s="260">
        <f t="shared" si="133"/>
        <v>0</v>
      </c>
      <c r="K259" s="260">
        <v>2562</v>
      </c>
      <c r="L259" s="260">
        <v>2562</v>
      </c>
      <c r="M259" s="260">
        <f t="shared" si="134"/>
        <v>0</v>
      </c>
      <c r="N259" s="260"/>
      <c r="O259" s="260"/>
      <c r="P259" s="260">
        <f t="shared" si="135"/>
        <v>0</v>
      </c>
      <c r="Q259" s="260"/>
      <c r="R259" s="260"/>
      <c r="S259" s="260">
        <f t="shared" si="136"/>
        <v>0</v>
      </c>
      <c r="T259" s="260"/>
      <c r="U259" s="260"/>
      <c r="V259" s="260">
        <f t="shared" si="137"/>
        <v>0</v>
      </c>
      <c r="W259" s="260"/>
      <c r="X259" s="260"/>
      <c r="Y259" s="260">
        <f t="shared" si="138"/>
        <v>0</v>
      </c>
      <c r="Z259" s="260"/>
      <c r="AA259" s="260"/>
      <c r="AB259" s="260">
        <f t="shared" si="139"/>
        <v>0</v>
      </c>
    </row>
    <row r="260" spans="1:28" s="254" customFormat="1" x14ac:dyDescent="0.25">
      <c r="A260" s="259" t="s">
        <v>212</v>
      </c>
      <c r="B260" s="260">
        <f t="shared" si="287"/>
        <v>3935</v>
      </c>
      <c r="C260" s="260">
        <f t="shared" si="287"/>
        <v>3935</v>
      </c>
      <c r="D260" s="260">
        <f t="shared" si="287"/>
        <v>0</v>
      </c>
      <c r="E260" s="260"/>
      <c r="F260" s="260"/>
      <c r="G260" s="260">
        <f t="shared" si="297"/>
        <v>0</v>
      </c>
      <c r="H260" s="260"/>
      <c r="I260" s="260"/>
      <c r="J260" s="260">
        <f t="shared" si="133"/>
        <v>0</v>
      </c>
      <c r="K260" s="260">
        <v>3935</v>
      </c>
      <c r="L260" s="260">
        <v>3935</v>
      </c>
      <c r="M260" s="260">
        <f t="shared" si="134"/>
        <v>0</v>
      </c>
      <c r="N260" s="260"/>
      <c r="O260" s="260"/>
      <c r="P260" s="260">
        <f t="shared" si="135"/>
        <v>0</v>
      </c>
      <c r="Q260" s="260"/>
      <c r="R260" s="260"/>
      <c r="S260" s="260">
        <f t="shared" si="136"/>
        <v>0</v>
      </c>
      <c r="T260" s="260"/>
      <c r="U260" s="260"/>
      <c r="V260" s="260">
        <f t="shared" si="137"/>
        <v>0</v>
      </c>
      <c r="W260" s="260"/>
      <c r="X260" s="260"/>
      <c r="Y260" s="260">
        <f t="shared" si="138"/>
        <v>0</v>
      </c>
      <c r="Z260" s="260"/>
      <c r="AA260" s="260"/>
      <c r="AB260" s="260">
        <f t="shared" si="139"/>
        <v>0</v>
      </c>
    </row>
    <row r="261" spans="1:28" s="254" customFormat="1" ht="47.25" x14ac:dyDescent="0.25">
      <c r="A261" s="259" t="s">
        <v>556</v>
      </c>
      <c r="B261" s="260">
        <f t="shared" ref="B261" si="362">E261+H261+K261+N261+Q261+T261+Z261+W261</f>
        <v>0</v>
      </c>
      <c r="C261" s="260">
        <f t="shared" ref="C261" si="363">F261+I261+L261+O261+R261+U261+AA261+X261</f>
        <v>13847</v>
      </c>
      <c r="D261" s="260">
        <f t="shared" ref="D261" si="364">G261+J261+M261+P261+S261+V261+AB261+Y261</f>
        <v>13847</v>
      </c>
      <c r="E261" s="260"/>
      <c r="F261" s="260"/>
      <c r="G261" s="260">
        <f t="shared" ref="G261" si="365">F261-E261</f>
        <v>0</v>
      </c>
      <c r="H261" s="260"/>
      <c r="I261" s="260"/>
      <c r="J261" s="260">
        <f t="shared" ref="J261" si="366">I261-H261</f>
        <v>0</v>
      </c>
      <c r="K261" s="260">
        <v>0</v>
      </c>
      <c r="L261" s="260">
        <v>13847</v>
      </c>
      <c r="M261" s="260">
        <f t="shared" ref="M261" si="367">L261-K261</f>
        <v>13847</v>
      </c>
      <c r="N261" s="260"/>
      <c r="O261" s="260"/>
      <c r="P261" s="260">
        <f t="shared" ref="P261" si="368">O261-N261</f>
        <v>0</v>
      </c>
      <c r="Q261" s="260"/>
      <c r="R261" s="260"/>
      <c r="S261" s="260">
        <f t="shared" ref="S261" si="369">R261-Q261</f>
        <v>0</v>
      </c>
      <c r="T261" s="260"/>
      <c r="U261" s="260"/>
      <c r="V261" s="260">
        <f t="shared" ref="V261" si="370">U261-T261</f>
        <v>0</v>
      </c>
      <c r="W261" s="260"/>
      <c r="X261" s="260"/>
      <c r="Y261" s="260">
        <f t="shared" ref="Y261" si="371">X261-W261</f>
        <v>0</v>
      </c>
      <c r="Z261" s="260"/>
      <c r="AA261" s="260"/>
      <c r="AB261" s="260">
        <f t="shared" ref="AB261" si="372">AA261-Z261</f>
        <v>0</v>
      </c>
    </row>
    <row r="262" spans="1:28" s="254" customFormat="1" ht="31.5" x14ac:dyDescent="0.25">
      <c r="A262" s="259" t="s">
        <v>557</v>
      </c>
      <c r="B262" s="260">
        <f t="shared" ref="B262" si="373">E262+H262+K262+N262+Q262+T262+Z262+W262</f>
        <v>0</v>
      </c>
      <c r="C262" s="260">
        <f t="shared" ref="C262" si="374">F262+I262+L262+O262+R262+U262+AA262+X262</f>
        <v>14882</v>
      </c>
      <c r="D262" s="260">
        <f t="shared" ref="D262" si="375">G262+J262+M262+P262+S262+V262+AB262+Y262</f>
        <v>14882</v>
      </c>
      <c r="E262" s="260"/>
      <c r="F262" s="260"/>
      <c r="G262" s="260">
        <f t="shared" ref="G262" si="376">F262-E262</f>
        <v>0</v>
      </c>
      <c r="H262" s="260"/>
      <c r="I262" s="260"/>
      <c r="J262" s="260">
        <f t="shared" ref="J262" si="377">I262-H262</f>
        <v>0</v>
      </c>
      <c r="K262" s="260">
        <v>0</v>
      </c>
      <c r="L262" s="260">
        <v>14882</v>
      </c>
      <c r="M262" s="260">
        <f t="shared" ref="M262" si="378">L262-K262</f>
        <v>14882</v>
      </c>
      <c r="N262" s="260"/>
      <c r="O262" s="260"/>
      <c r="P262" s="260">
        <f t="shared" ref="P262" si="379">O262-N262</f>
        <v>0</v>
      </c>
      <c r="Q262" s="260"/>
      <c r="R262" s="260"/>
      <c r="S262" s="260">
        <f t="shared" ref="S262" si="380">R262-Q262</f>
        <v>0</v>
      </c>
      <c r="T262" s="260"/>
      <c r="U262" s="260"/>
      <c r="V262" s="260">
        <f t="shared" ref="V262" si="381">U262-T262</f>
        <v>0</v>
      </c>
      <c r="W262" s="260"/>
      <c r="X262" s="260"/>
      <c r="Y262" s="260">
        <f t="shared" ref="Y262" si="382">X262-W262</f>
        <v>0</v>
      </c>
      <c r="Z262" s="260"/>
      <c r="AA262" s="260"/>
      <c r="AB262" s="260">
        <f t="shared" ref="AB262" si="383">AA262-Z262</f>
        <v>0</v>
      </c>
    </row>
    <row r="263" spans="1:28" s="254" customFormat="1" ht="31.5" x14ac:dyDescent="0.25">
      <c r="A263" s="259" t="s">
        <v>247</v>
      </c>
      <c r="B263" s="260">
        <f t="shared" si="287"/>
        <v>24697</v>
      </c>
      <c r="C263" s="260">
        <f t="shared" si="287"/>
        <v>24697</v>
      </c>
      <c r="D263" s="260">
        <f t="shared" si="287"/>
        <v>0</v>
      </c>
      <c r="E263" s="260"/>
      <c r="F263" s="260"/>
      <c r="G263" s="260">
        <f t="shared" si="297"/>
        <v>0</v>
      </c>
      <c r="H263" s="260"/>
      <c r="I263" s="260"/>
      <c r="J263" s="260">
        <f t="shared" si="133"/>
        <v>0</v>
      </c>
      <c r="K263" s="260"/>
      <c r="L263" s="260"/>
      <c r="M263" s="260">
        <f t="shared" si="134"/>
        <v>0</v>
      </c>
      <c r="N263" s="260"/>
      <c r="O263" s="260"/>
      <c r="P263" s="260">
        <f t="shared" si="135"/>
        <v>0</v>
      </c>
      <c r="Q263" s="260">
        <f>25000-20000+19697</f>
        <v>24697</v>
      </c>
      <c r="R263" s="260">
        <f>25000-20000+19697</f>
        <v>24697</v>
      </c>
      <c r="S263" s="260">
        <f t="shared" si="136"/>
        <v>0</v>
      </c>
      <c r="T263" s="260"/>
      <c r="U263" s="260"/>
      <c r="V263" s="260">
        <f t="shared" si="137"/>
        <v>0</v>
      </c>
      <c r="W263" s="260"/>
      <c r="X263" s="260"/>
      <c r="Y263" s="260">
        <f t="shared" si="138"/>
        <v>0</v>
      </c>
      <c r="Z263" s="260"/>
      <c r="AA263" s="260"/>
      <c r="AB263" s="260">
        <f t="shared" si="139"/>
        <v>0</v>
      </c>
    </row>
    <row r="264" spans="1:28" s="254" customFormat="1" x14ac:dyDescent="0.25">
      <c r="A264" s="252" t="s">
        <v>37</v>
      </c>
      <c r="B264" s="253">
        <f t="shared" si="287"/>
        <v>136876</v>
      </c>
      <c r="C264" s="253">
        <f t="shared" si="287"/>
        <v>138182</v>
      </c>
      <c r="D264" s="253">
        <f t="shared" si="287"/>
        <v>1306</v>
      </c>
      <c r="E264" s="253">
        <f>SUM(E265,E270,E276,E278)</f>
        <v>0</v>
      </c>
      <c r="F264" s="253">
        <f>SUM(F265,F270,F276,F278)</f>
        <v>0</v>
      </c>
      <c r="G264" s="253">
        <f t="shared" si="297"/>
        <v>0</v>
      </c>
      <c r="H264" s="253">
        <f t="shared" ref="H264" si="384">SUM(H265,H270,H276,H278)</f>
        <v>0</v>
      </c>
      <c r="I264" s="253">
        <f t="shared" ref="I264" si="385">SUM(I265,I270,I276,I278)</f>
        <v>0</v>
      </c>
      <c r="J264" s="253">
        <f t="shared" si="133"/>
        <v>0</v>
      </c>
      <c r="K264" s="253">
        <f t="shared" ref="K264" si="386">SUM(K265,K270,K276,K278)</f>
        <v>0</v>
      </c>
      <c r="L264" s="253">
        <f t="shared" ref="L264" si="387">SUM(L265,L270,L276,L278)</f>
        <v>0</v>
      </c>
      <c r="M264" s="253">
        <f t="shared" si="134"/>
        <v>0</v>
      </c>
      <c r="N264" s="253">
        <f t="shared" ref="N264" si="388">SUM(N265,N270,N276,N278)</f>
        <v>0</v>
      </c>
      <c r="O264" s="253">
        <f t="shared" ref="O264" si="389">SUM(O265,O270,O276,O278)</f>
        <v>0</v>
      </c>
      <c r="P264" s="253">
        <f t="shared" si="135"/>
        <v>0</v>
      </c>
      <c r="Q264" s="253">
        <f t="shared" ref="Q264" si="390">SUM(Q265,Q270,Q276,Q278)</f>
        <v>136876</v>
      </c>
      <c r="R264" s="253">
        <f t="shared" ref="R264" si="391">SUM(R265,R270,R276,R278)</f>
        <v>138182</v>
      </c>
      <c r="S264" s="253">
        <f t="shared" si="136"/>
        <v>1306</v>
      </c>
      <c r="T264" s="253">
        <f t="shared" ref="T264" si="392">SUM(T265,T270,T276,T278)</f>
        <v>0</v>
      </c>
      <c r="U264" s="253">
        <f t="shared" ref="U264" si="393">SUM(U265,U270,U276,U278)</f>
        <v>0</v>
      </c>
      <c r="V264" s="253">
        <f t="shared" si="137"/>
        <v>0</v>
      </c>
      <c r="W264" s="253">
        <f t="shared" ref="W264:X264" si="394">SUM(W265,W270,W276,W278)</f>
        <v>0</v>
      </c>
      <c r="X264" s="253">
        <f t="shared" si="394"/>
        <v>0</v>
      </c>
      <c r="Y264" s="253">
        <f t="shared" si="138"/>
        <v>0</v>
      </c>
      <c r="Z264" s="253">
        <f t="shared" ref="Z264" si="395">SUM(Z265,Z270,Z276,Z278)</f>
        <v>0</v>
      </c>
      <c r="AA264" s="253">
        <f t="shared" ref="AA264" si="396">SUM(AA265,AA270,AA276,AA278)</f>
        <v>0</v>
      </c>
      <c r="AB264" s="253">
        <f t="shared" si="139"/>
        <v>0</v>
      </c>
    </row>
    <row r="265" spans="1:28" s="254" customFormat="1" x14ac:dyDescent="0.25">
      <c r="A265" s="252" t="s">
        <v>101</v>
      </c>
      <c r="B265" s="253">
        <f t="shared" si="287"/>
        <v>11336</v>
      </c>
      <c r="C265" s="253">
        <f t="shared" si="287"/>
        <v>11336</v>
      </c>
      <c r="D265" s="253">
        <f t="shared" si="287"/>
        <v>0</v>
      </c>
      <c r="E265" s="253">
        <f>SUM(E266:E269)</f>
        <v>0</v>
      </c>
      <c r="F265" s="253">
        <f>SUM(F266:F269)</f>
        <v>0</v>
      </c>
      <c r="G265" s="253">
        <f t="shared" si="297"/>
        <v>0</v>
      </c>
      <c r="H265" s="253">
        <f t="shared" ref="H265" si="397">SUM(H266:H269)</f>
        <v>0</v>
      </c>
      <c r="I265" s="253">
        <f t="shared" ref="I265" si="398">SUM(I266:I269)</f>
        <v>0</v>
      </c>
      <c r="J265" s="253">
        <f t="shared" si="133"/>
        <v>0</v>
      </c>
      <c r="K265" s="253">
        <f t="shared" ref="K265" si="399">SUM(K266:K269)</f>
        <v>0</v>
      </c>
      <c r="L265" s="253">
        <f t="shared" ref="L265" si="400">SUM(L266:L269)</f>
        <v>0</v>
      </c>
      <c r="M265" s="253">
        <f t="shared" si="134"/>
        <v>0</v>
      </c>
      <c r="N265" s="253">
        <f t="shared" ref="N265" si="401">SUM(N266:N269)</f>
        <v>0</v>
      </c>
      <c r="O265" s="253">
        <f t="shared" ref="O265" si="402">SUM(O266:O269)</f>
        <v>0</v>
      </c>
      <c r="P265" s="253">
        <f t="shared" si="135"/>
        <v>0</v>
      </c>
      <c r="Q265" s="253">
        <f t="shared" ref="Q265" si="403">SUM(Q266:Q269)</f>
        <v>11336</v>
      </c>
      <c r="R265" s="253">
        <f t="shared" ref="R265" si="404">SUM(R266:R269)</f>
        <v>11336</v>
      </c>
      <c r="S265" s="253">
        <f t="shared" si="136"/>
        <v>0</v>
      </c>
      <c r="T265" s="253">
        <f t="shared" ref="T265" si="405">SUM(T266:T269)</f>
        <v>0</v>
      </c>
      <c r="U265" s="253">
        <f t="shared" ref="U265" si="406">SUM(U266:U269)</f>
        <v>0</v>
      </c>
      <c r="V265" s="253">
        <f t="shared" si="137"/>
        <v>0</v>
      </c>
      <c r="W265" s="253">
        <f t="shared" ref="W265:X265" si="407">SUM(W266:W269)</f>
        <v>0</v>
      </c>
      <c r="X265" s="253">
        <f t="shared" si="407"/>
        <v>0</v>
      </c>
      <c r="Y265" s="253">
        <f t="shared" si="138"/>
        <v>0</v>
      </c>
      <c r="Z265" s="253">
        <f t="shared" ref="Z265" si="408">SUM(Z266:Z269)</f>
        <v>0</v>
      </c>
      <c r="AA265" s="253">
        <f t="shared" ref="AA265" si="409">SUM(AA266:AA269)</f>
        <v>0</v>
      </c>
      <c r="AB265" s="253">
        <f t="shared" si="139"/>
        <v>0</v>
      </c>
    </row>
    <row r="266" spans="1:28" s="254" customFormat="1" x14ac:dyDescent="0.25">
      <c r="A266" s="259" t="s">
        <v>129</v>
      </c>
      <c r="B266" s="260">
        <f t="shared" si="287"/>
        <v>1944</v>
      </c>
      <c r="C266" s="260">
        <f t="shared" si="287"/>
        <v>1944</v>
      </c>
      <c r="D266" s="260">
        <f t="shared" si="287"/>
        <v>0</v>
      </c>
      <c r="E266" s="260"/>
      <c r="F266" s="260"/>
      <c r="G266" s="260">
        <f t="shared" si="297"/>
        <v>0</v>
      </c>
      <c r="H266" s="260"/>
      <c r="I266" s="260"/>
      <c r="J266" s="260">
        <f t="shared" si="133"/>
        <v>0</v>
      </c>
      <c r="K266" s="260"/>
      <c r="L266" s="260"/>
      <c r="M266" s="260">
        <f t="shared" si="134"/>
        <v>0</v>
      </c>
      <c r="N266" s="260"/>
      <c r="O266" s="260"/>
      <c r="P266" s="260">
        <f t="shared" si="135"/>
        <v>0</v>
      </c>
      <c r="Q266" s="260">
        <v>1944</v>
      </c>
      <c r="R266" s="260">
        <v>1944</v>
      </c>
      <c r="S266" s="260">
        <f t="shared" si="136"/>
        <v>0</v>
      </c>
      <c r="T266" s="260"/>
      <c r="U266" s="260"/>
      <c r="V266" s="260">
        <f t="shared" si="137"/>
        <v>0</v>
      </c>
      <c r="W266" s="260"/>
      <c r="X266" s="260"/>
      <c r="Y266" s="260">
        <f t="shared" si="138"/>
        <v>0</v>
      </c>
      <c r="Z266" s="260"/>
      <c r="AA266" s="260"/>
      <c r="AB266" s="260">
        <f t="shared" si="139"/>
        <v>0</v>
      </c>
    </row>
    <row r="267" spans="1:28" s="254" customFormat="1" x14ac:dyDescent="0.25">
      <c r="A267" s="259" t="s">
        <v>435</v>
      </c>
      <c r="B267" s="260">
        <f t="shared" si="287"/>
        <v>1198</v>
      </c>
      <c r="C267" s="260">
        <f t="shared" si="287"/>
        <v>1198</v>
      </c>
      <c r="D267" s="260">
        <f t="shared" si="287"/>
        <v>0</v>
      </c>
      <c r="E267" s="260"/>
      <c r="F267" s="260"/>
      <c r="G267" s="260">
        <f t="shared" si="297"/>
        <v>0</v>
      </c>
      <c r="H267" s="260"/>
      <c r="I267" s="260"/>
      <c r="J267" s="260">
        <f t="shared" si="133"/>
        <v>0</v>
      </c>
      <c r="K267" s="260"/>
      <c r="L267" s="260"/>
      <c r="M267" s="260">
        <f t="shared" si="134"/>
        <v>0</v>
      </c>
      <c r="N267" s="260"/>
      <c r="O267" s="260"/>
      <c r="P267" s="260">
        <f t="shared" si="135"/>
        <v>0</v>
      </c>
      <c r="Q267" s="260">
        <v>1198</v>
      </c>
      <c r="R267" s="260">
        <v>1198</v>
      </c>
      <c r="S267" s="260">
        <f t="shared" si="136"/>
        <v>0</v>
      </c>
      <c r="T267" s="260"/>
      <c r="U267" s="260"/>
      <c r="V267" s="260">
        <f t="shared" si="137"/>
        <v>0</v>
      </c>
      <c r="W267" s="260"/>
      <c r="X267" s="260"/>
      <c r="Y267" s="260">
        <f t="shared" si="138"/>
        <v>0</v>
      </c>
      <c r="Z267" s="260"/>
      <c r="AA267" s="260"/>
      <c r="AB267" s="260">
        <f t="shared" si="139"/>
        <v>0</v>
      </c>
    </row>
    <row r="268" spans="1:28" s="254" customFormat="1" x14ac:dyDescent="0.25">
      <c r="A268" s="259" t="s">
        <v>132</v>
      </c>
      <c r="B268" s="260">
        <f t="shared" si="287"/>
        <v>1500</v>
      </c>
      <c r="C268" s="260">
        <f t="shared" si="287"/>
        <v>1500</v>
      </c>
      <c r="D268" s="260">
        <f t="shared" si="287"/>
        <v>0</v>
      </c>
      <c r="E268" s="260"/>
      <c r="F268" s="260"/>
      <c r="G268" s="260">
        <f t="shared" si="297"/>
        <v>0</v>
      </c>
      <c r="H268" s="260"/>
      <c r="I268" s="260"/>
      <c r="J268" s="260">
        <f t="shared" si="133"/>
        <v>0</v>
      </c>
      <c r="K268" s="260"/>
      <c r="L268" s="260"/>
      <c r="M268" s="260">
        <f t="shared" si="134"/>
        <v>0</v>
      </c>
      <c r="N268" s="260"/>
      <c r="O268" s="260"/>
      <c r="P268" s="260">
        <f t="shared" si="135"/>
        <v>0</v>
      </c>
      <c r="Q268" s="260">
        <v>1500</v>
      </c>
      <c r="R268" s="260">
        <v>1500</v>
      </c>
      <c r="S268" s="260">
        <f t="shared" si="136"/>
        <v>0</v>
      </c>
      <c r="T268" s="260"/>
      <c r="U268" s="260"/>
      <c r="V268" s="260">
        <f t="shared" si="137"/>
        <v>0</v>
      </c>
      <c r="W268" s="260"/>
      <c r="X268" s="260"/>
      <c r="Y268" s="260">
        <f t="shared" si="138"/>
        <v>0</v>
      </c>
      <c r="Z268" s="260"/>
      <c r="AA268" s="260"/>
      <c r="AB268" s="260">
        <f t="shared" si="139"/>
        <v>0</v>
      </c>
    </row>
    <row r="269" spans="1:28" s="254" customFormat="1" x14ac:dyDescent="0.25">
      <c r="A269" s="259" t="s">
        <v>130</v>
      </c>
      <c r="B269" s="260">
        <f t="shared" si="287"/>
        <v>6694</v>
      </c>
      <c r="C269" s="260">
        <f t="shared" si="287"/>
        <v>6694</v>
      </c>
      <c r="D269" s="260">
        <f t="shared" si="287"/>
        <v>0</v>
      </c>
      <c r="E269" s="260"/>
      <c r="F269" s="260"/>
      <c r="G269" s="260">
        <f t="shared" si="297"/>
        <v>0</v>
      </c>
      <c r="H269" s="260"/>
      <c r="I269" s="260"/>
      <c r="J269" s="260">
        <f t="shared" si="133"/>
        <v>0</v>
      </c>
      <c r="K269" s="260"/>
      <c r="L269" s="260"/>
      <c r="M269" s="260">
        <f t="shared" si="134"/>
        <v>0</v>
      </c>
      <c r="N269" s="260"/>
      <c r="O269" s="260"/>
      <c r="P269" s="260">
        <f t="shared" si="135"/>
        <v>0</v>
      </c>
      <c r="Q269" s="260">
        <f>6642+52</f>
        <v>6694</v>
      </c>
      <c r="R269" s="260">
        <f>6642+52</f>
        <v>6694</v>
      </c>
      <c r="S269" s="260">
        <f t="shared" si="136"/>
        <v>0</v>
      </c>
      <c r="T269" s="260"/>
      <c r="U269" s="260"/>
      <c r="V269" s="260">
        <f t="shared" si="137"/>
        <v>0</v>
      </c>
      <c r="W269" s="260"/>
      <c r="X269" s="260"/>
      <c r="Y269" s="260">
        <f t="shared" si="138"/>
        <v>0</v>
      </c>
      <c r="Z269" s="260"/>
      <c r="AA269" s="260"/>
      <c r="AB269" s="260">
        <f t="shared" si="139"/>
        <v>0</v>
      </c>
    </row>
    <row r="270" spans="1:28" s="254" customFormat="1" ht="31.5" x14ac:dyDescent="0.25">
      <c r="A270" s="252" t="s">
        <v>107</v>
      </c>
      <c r="B270" s="253">
        <f t="shared" si="287"/>
        <v>55524</v>
      </c>
      <c r="C270" s="253">
        <f t="shared" si="287"/>
        <v>55524</v>
      </c>
      <c r="D270" s="253">
        <f t="shared" si="287"/>
        <v>0</v>
      </c>
      <c r="E270" s="253">
        <f>SUM(E271:E275)</f>
        <v>0</v>
      </c>
      <c r="F270" s="253">
        <f>SUM(F271:F275)</f>
        <v>0</v>
      </c>
      <c r="G270" s="253">
        <f t="shared" si="297"/>
        <v>0</v>
      </c>
      <c r="H270" s="253">
        <f t="shared" ref="H270" si="410">SUM(H271:H275)</f>
        <v>0</v>
      </c>
      <c r="I270" s="253">
        <f t="shared" ref="I270" si="411">SUM(I271:I275)</f>
        <v>0</v>
      </c>
      <c r="J270" s="253">
        <f t="shared" si="133"/>
        <v>0</v>
      </c>
      <c r="K270" s="253">
        <f t="shared" ref="K270" si="412">SUM(K271:K275)</f>
        <v>0</v>
      </c>
      <c r="L270" s="253">
        <f t="shared" ref="L270" si="413">SUM(L271:L275)</f>
        <v>0</v>
      </c>
      <c r="M270" s="253">
        <f t="shared" si="134"/>
        <v>0</v>
      </c>
      <c r="N270" s="253">
        <f t="shared" ref="N270" si="414">SUM(N271:N275)</f>
        <v>0</v>
      </c>
      <c r="O270" s="253">
        <f t="shared" ref="O270" si="415">SUM(O271:O275)</f>
        <v>0</v>
      </c>
      <c r="P270" s="253">
        <f t="shared" si="135"/>
        <v>0</v>
      </c>
      <c r="Q270" s="253">
        <f t="shared" ref="Q270" si="416">SUM(Q271:Q275)</f>
        <v>55524</v>
      </c>
      <c r="R270" s="253">
        <f t="shared" ref="R270" si="417">SUM(R271:R275)</f>
        <v>55524</v>
      </c>
      <c r="S270" s="253">
        <f t="shared" si="136"/>
        <v>0</v>
      </c>
      <c r="T270" s="253">
        <f t="shared" ref="T270" si="418">SUM(T271:T275)</f>
        <v>0</v>
      </c>
      <c r="U270" s="253">
        <f t="shared" ref="U270" si="419">SUM(U271:U275)</f>
        <v>0</v>
      </c>
      <c r="V270" s="253">
        <f t="shared" si="137"/>
        <v>0</v>
      </c>
      <c r="W270" s="253">
        <f t="shared" ref="W270:X270" si="420">SUM(W271:W275)</f>
        <v>0</v>
      </c>
      <c r="X270" s="253">
        <f t="shared" si="420"/>
        <v>0</v>
      </c>
      <c r="Y270" s="253">
        <f t="shared" si="138"/>
        <v>0</v>
      </c>
      <c r="Z270" s="253">
        <f t="shared" ref="Z270" si="421">SUM(Z271:Z275)</f>
        <v>0</v>
      </c>
      <c r="AA270" s="253">
        <f t="shared" ref="AA270" si="422">SUM(AA271:AA275)</f>
        <v>0</v>
      </c>
      <c r="AB270" s="253">
        <f t="shared" si="139"/>
        <v>0</v>
      </c>
    </row>
    <row r="271" spans="1:28" s="254" customFormat="1" ht="31.5" x14ac:dyDescent="0.25">
      <c r="A271" s="259" t="s">
        <v>131</v>
      </c>
      <c r="B271" s="260">
        <f t="shared" si="287"/>
        <v>4434</v>
      </c>
      <c r="C271" s="260">
        <f t="shared" si="287"/>
        <v>4434</v>
      </c>
      <c r="D271" s="260">
        <f t="shared" si="287"/>
        <v>0</v>
      </c>
      <c r="E271" s="260"/>
      <c r="F271" s="260"/>
      <c r="G271" s="260">
        <f t="shared" si="297"/>
        <v>0</v>
      </c>
      <c r="H271" s="260"/>
      <c r="I271" s="260"/>
      <c r="J271" s="260">
        <f t="shared" si="133"/>
        <v>0</v>
      </c>
      <c r="K271" s="260"/>
      <c r="L271" s="260"/>
      <c r="M271" s="260">
        <f t="shared" si="134"/>
        <v>0</v>
      </c>
      <c r="N271" s="260"/>
      <c r="O271" s="260"/>
      <c r="P271" s="260">
        <f t="shared" si="135"/>
        <v>0</v>
      </c>
      <c r="Q271" s="260">
        <f>1065+3369</f>
        <v>4434</v>
      </c>
      <c r="R271" s="260">
        <f>1065+3369</f>
        <v>4434</v>
      </c>
      <c r="S271" s="260">
        <f t="shared" si="136"/>
        <v>0</v>
      </c>
      <c r="T271" s="260"/>
      <c r="U271" s="260"/>
      <c r="V271" s="260">
        <f t="shared" si="137"/>
        <v>0</v>
      </c>
      <c r="W271" s="260"/>
      <c r="X271" s="260"/>
      <c r="Y271" s="260">
        <f t="shared" si="138"/>
        <v>0</v>
      </c>
      <c r="Z271" s="260"/>
      <c r="AA271" s="260"/>
      <c r="AB271" s="260">
        <f t="shared" si="139"/>
        <v>0</v>
      </c>
    </row>
    <row r="272" spans="1:28" s="254" customFormat="1" ht="31.5" x14ac:dyDescent="0.25">
      <c r="A272" s="259" t="s">
        <v>214</v>
      </c>
      <c r="B272" s="260">
        <f t="shared" si="287"/>
        <v>23310</v>
      </c>
      <c r="C272" s="260">
        <f t="shared" si="287"/>
        <v>23310</v>
      </c>
      <c r="D272" s="260">
        <f t="shared" si="287"/>
        <v>0</v>
      </c>
      <c r="E272" s="260"/>
      <c r="F272" s="260"/>
      <c r="G272" s="260">
        <f t="shared" si="297"/>
        <v>0</v>
      </c>
      <c r="H272" s="260"/>
      <c r="I272" s="260"/>
      <c r="J272" s="260">
        <f t="shared" si="133"/>
        <v>0</v>
      </c>
      <c r="K272" s="260"/>
      <c r="L272" s="260"/>
      <c r="M272" s="260">
        <f t="shared" si="134"/>
        <v>0</v>
      </c>
      <c r="N272" s="260"/>
      <c r="O272" s="260"/>
      <c r="P272" s="260">
        <f t="shared" si="135"/>
        <v>0</v>
      </c>
      <c r="Q272" s="260">
        <v>23310</v>
      </c>
      <c r="R272" s="260">
        <v>23310</v>
      </c>
      <c r="S272" s="260">
        <f t="shared" si="136"/>
        <v>0</v>
      </c>
      <c r="T272" s="260"/>
      <c r="U272" s="260"/>
      <c r="V272" s="260">
        <f t="shared" si="137"/>
        <v>0</v>
      </c>
      <c r="W272" s="260"/>
      <c r="X272" s="260"/>
      <c r="Y272" s="260">
        <f t="shared" si="138"/>
        <v>0</v>
      </c>
      <c r="Z272" s="260"/>
      <c r="AA272" s="260"/>
      <c r="AB272" s="260">
        <f t="shared" si="139"/>
        <v>0</v>
      </c>
    </row>
    <row r="273" spans="1:189" s="254" customFormat="1" ht="31.5" x14ac:dyDescent="0.25">
      <c r="A273" s="259" t="s">
        <v>468</v>
      </c>
      <c r="B273" s="260">
        <f t="shared" si="287"/>
        <v>6600</v>
      </c>
      <c r="C273" s="260">
        <f t="shared" si="287"/>
        <v>6600</v>
      </c>
      <c r="D273" s="260">
        <f t="shared" si="287"/>
        <v>0</v>
      </c>
      <c r="E273" s="260"/>
      <c r="F273" s="260"/>
      <c r="G273" s="260">
        <f t="shared" si="297"/>
        <v>0</v>
      </c>
      <c r="H273" s="260"/>
      <c r="I273" s="260"/>
      <c r="J273" s="260">
        <f t="shared" si="133"/>
        <v>0</v>
      </c>
      <c r="K273" s="260"/>
      <c r="L273" s="260"/>
      <c r="M273" s="260">
        <f t="shared" si="134"/>
        <v>0</v>
      </c>
      <c r="N273" s="260"/>
      <c r="O273" s="260"/>
      <c r="P273" s="260">
        <f t="shared" si="135"/>
        <v>0</v>
      </c>
      <c r="Q273" s="260">
        <v>6600</v>
      </c>
      <c r="R273" s="260">
        <v>6600</v>
      </c>
      <c r="S273" s="260">
        <f t="shared" si="136"/>
        <v>0</v>
      </c>
      <c r="T273" s="260"/>
      <c r="U273" s="260"/>
      <c r="V273" s="260">
        <f t="shared" si="137"/>
        <v>0</v>
      </c>
      <c r="W273" s="260"/>
      <c r="X273" s="260"/>
      <c r="Y273" s="260">
        <f t="shared" si="138"/>
        <v>0</v>
      </c>
      <c r="Z273" s="260"/>
      <c r="AA273" s="260"/>
      <c r="AB273" s="260">
        <f t="shared" si="139"/>
        <v>0</v>
      </c>
    </row>
    <row r="274" spans="1:189" s="254" customFormat="1" x14ac:dyDescent="0.25">
      <c r="A274" s="259" t="s">
        <v>427</v>
      </c>
      <c r="B274" s="260">
        <f t="shared" si="287"/>
        <v>6499</v>
      </c>
      <c r="C274" s="260">
        <f t="shared" si="287"/>
        <v>6499</v>
      </c>
      <c r="D274" s="260">
        <f t="shared" si="287"/>
        <v>0</v>
      </c>
      <c r="E274" s="260"/>
      <c r="F274" s="260"/>
      <c r="G274" s="260">
        <f t="shared" si="297"/>
        <v>0</v>
      </c>
      <c r="H274" s="260"/>
      <c r="I274" s="260"/>
      <c r="J274" s="260">
        <f t="shared" si="133"/>
        <v>0</v>
      </c>
      <c r="K274" s="260"/>
      <c r="L274" s="260"/>
      <c r="M274" s="260">
        <f t="shared" si="134"/>
        <v>0</v>
      </c>
      <c r="N274" s="260"/>
      <c r="O274" s="260"/>
      <c r="P274" s="260">
        <f t="shared" si="135"/>
        <v>0</v>
      </c>
      <c r="Q274" s="260">
        <v>6499</v>
      </c>
      <c r="R274" s="260">
        <v>6499</v>
      </c>
      <c r="S274" s="260">
        <f t="shared" si="136"/>
        <v>0</v>
      </c>
      <c r="T274" s="260"/>
      <c r="U274" s="260"/>
      <c r="V274" s="260">
        <f t="shared" si="137"/>
        <v>0</v>
      </c>
      <c r="W274" s="260"/>
      <c r="X274" s="260"/>
      <c r="Y274" s="260">
        <f t="shared" si="138"/>
        <v>0</v>
      </c>
      <c r="Z274" s="260"/>
      <c r="AA274" s="260"/>
      <c r="AB274" s="260">
        <f t="shared" si="139"/>
        <v>0</v>
      </c>
    </row>
    <row r="275" spans="1:189" s="254" customFormat="1" x14ac:dyDescent="0.25">
      <c r="A275" s="259" t="s">
        <v>467</v>
      </c>
      <c r="B275" s="260">
        <f t="shared" si="287"/>
        <v>14681</v>
      </c>
      <c r="C275" s="260">
        <f t="shared" si="287"/>
        <v>14681</v>
      </c>
      <c r="D275" s="260">
        <f t="shared" si="287"/>
        <v>0</v>
      </c>
      <c r="E275" s="260"/>
      <c r="F275" s="260"/>
      <c r="G275" s="260">
        <f t="shared" si="297"/>
        <v>0</v>
      </c>
      <c r="H275" s="260"/>
      <c r="I275" s="260"/>
      <c r="J275" s="260">
        <f t="shared" si="133"/>
        <v>0</v>
      </c>
      <c r="K275" s="260"/>
      <c r="L275" s="260"/>
      <c r="M275" s="260">
        <f t="shared" si="134"/>
        <v>0</v>
      </c>
      <c r="N275" s="260"/>
      <c r="O275" s="260"/>
      <c r="P275" s="260">
        <f t="shared" si="135"/>
        <v>0</v>
      </c>
      <c r="Q275" s="260">
        <v>14681</v>
      </c>
      <c r="R275" s="260">
        <v>14681</v>
      </c>
      <c r="S275" s="260">
        <f t="shared" si="136"/>
        <v>0</v>
      </c>
      <c r="T275" s="260"/>
      <c r="U275" s="260"/>
      <c r="V275" s="260">
        <f t="shared" si="137"/>
        <v>0</v>
      </c>
      <c r="W275" s="260"/>
      <c r="X275" s="260"/>
      <c r="Y275" s="260">
        <f t="shared" si="138"/>
        <v>0</v>
      </c>
      <c r="Z275" s="260"/>
      <c r="AA275" s="260"/>
      <c r="AB275" s="260">
        <f t="shared" si="139"/>
        <v>0</v>
      </c>
    </row>
    <row r="276" spans="1:189" s="254" customFormat="1" x14ac:dyDescent="0.25">
      <c r="A276" s="252" t="s">
        <v>110</v>
      </c>
      <c r="B276" s="253">
        <f t="shared" si="287"/>
        <v>40000</v>
      </c>
      <c r="C276" s="253">
        <f t="shared" si="287"/>
        <v>40000</v>
      </c>
      <c r="D276" s="253">
        <f t="shared" si="287"/>
        <v>0</v>
      </c>
      <c r="E276" s="253">
        <f t="shared" ref="E276:AA276" si="423">SUM(E277)</f>
        <v>0</v>
      </c>
      <c r="F276" s="253">
        <f t="shared" si="423"/>
        <v>0</v>
      </c>
      <c r="G276" s="253">
        <f t="shared" si="297"/>
        <v>0</v>
      </c>
      <c r="H276" s="253">
        <f t="shared" si="423"/>
        <v>0</v>
      </c>
      <c r="I276" s="253">
        <f t="shared" si="423"/>
        <v>0</v>
      </c>
      <c r="J276" s="253">
        <f t="shared" si="133"/>
        <v>0</v>
      </c>
      <c r="K276" s="253">
        <f t="shared" si="423"/>
        <v>0</v>
      </c>
      <c r="L276" s="253">
        <f t="shared" si="423"/>
        <v>0</v>
      </c>
      <c r="M276" s="253">
        <f t="shared" si="134"/>
        <v>0</v>
      </c>
      <c r="N276" s="253">
        <f t="shared" si="423"/>
        <v>0</v>
      </c>
      <c r="O276" s="253">
        <f t="shared" si="423"/>
        <v>0</v>
      </c>
      <c r="P276" s="253">
        <f t="shared" si="135"/>
        <v>0</v>
      </c>
      <c r="Q276" s="253">
        <f t="shared" si="423"/>
        <v>40000</v>
      </c>
      <c r="R276" s="253">
        <f t="shared" si="423"/>
        <v>40000</v>
      </c>
      <c r="S276" s="253">
        <f t="shared" si="136"/>
        <v>0</v>
      </c>
      <c r="T276" s="253">
        <f t="shared" si="423"/>
        <v>0</v>
      </c>
      <c r="U276" s="253">
        <f t="shared" si="423"/>
        <v>0</v>
      </c>
      <c r="V276" s="253">
        <f t="shared" si="137"/>
        <v>0</v>
      </c>
      <c r="W276" s="253">
        <f t="shared" si="423"/>
        <v>0</v>
      </c>
      <c r="X276" s="253">
        <f t="shared" si="423"/>
        <v>0</v>
      </c>
      <c r="Y276" s="253">
        <f t="shared" si="138"/>
        <v>0</v>
      </c>
      <c r="Z276" s="253">
        <f t="shared" si="423"/>
        <v>0</v>
      </c>
      <c r="AA276" s="253">
        <f t="shared" si="423"/>
        <v>0</v>
      </c>
      <c r="AB276" s="253">
        <f t="shared" si="139"/>
        <v>0</v>
      </c>
    </row>
    <row r="277" spans="1:189" s="251" customFormat="1" x14ac:dyDescent="0.25">
      <c r="A277" s="264" t="s">
        <v>133</v>
      </c>
      <c r="B277" s="260">
        <f t="shared" si="287"/>
        <v>40000</v>
      </c>
      <c r="C277" s="260">
        <f t="shared" si="287"/>
        <v>40000</v>
      </c>
      <c r="D277" s="260">
        <f t="shared" si="287"/>
        <v>0</v>
      </c>
      <c r="E277" s="260"/>
      <c r="F277" s="260"/>
      <c r="G277" s="260">
        <f t="shared" si="297"/>
        <v>0</v>
      </c>
      <c r="H277" s="260"/>
      <c r="I277" s="260"/>
      <c r="J277" s="260">
        <f t="shared" si="133"/>
        <v>0</v>
      </c>
      <c r="K277" s="260"/>
      <c r="L277" s="260"/>
      <c r="M277" s="260">
        <f t="shared" si="134"/>
        <v>0</v>
      </c>
      <c r="N277" s="260"/>
      <c r="O277" s="260"/>
      <c r="P277" s="260">
        <f t="shared" si="135"/>
        <v>0</v>
      </c>
      <c r="Q277" s="260">
        <v>40000</v>
      </c>
      <c r="R277" s="260">
        <v>40000</v>
      </c>
      <c r="S277" s="260">
        <f t="shared" si="136"/>
        <v>0</v>
      </c>
      <c r="T277" s="260"/>
      <c r="U277" s="260"/>
      <c r="V277" s="260">
        <f t="shared" si="137"/>
        <v>0</v>
      </c>
      <c r="W277" s="260"/>
      <c r="X277" s="260"/>
      <c r="Y277" s="260">
        <f t="shared" si="138"/>
        <v>0</v>
      </c>
      <c r="Z277" s="260"/>
      <c r="AA277" s="260"/>
      <c r="AB277" s="260">
        <f t="shared" si="139"/>
        <v>0</v>
      </c>
      <c r="AC277" s="254"/>
      <c r="AD277" s="254"/>
      <c r="AE277" s="254"/>
      <c r="AF277" s="254"/>
      <c r="AG277" s="254"/>
      <c r="AH277" s="254"/>
      <c r="AI277" s="254"/>
      <c r="AJ277" s="254"/>
      <c r="AK277" s="254"/>
      <c r="AL277" s="254"/>
      <c r="AM277" s="254"/>
      <c r="AN277" s="254"/>
      <c r="AO277" s="254"/>
      <c r="AP277" s="254"/>
      <c r="AQ277" s="254"/>
      <c r="AR277" s="254"/>
      <c r="AS277" s="254"/>
      <c r="AT277" s="254"/>
      <c r="AU277" s="254"/>
      <c r="AV277" s="254"/>
      <c r="AW277" s="254"/>
      <c r="AX277" s="254"/>
      <c r="AY277" s="254"/>
      <c r="AZ277" s="254"/>
      <c r="BA277" s="254"/>
      <c r="BB277" s="254"/>
      <c r="BC277" s="254"/>
      <c r="BD277" s="254"/>
      <c r="BE277" s="254"/>
      <c r="BF277" s="254"/>
      <c r="BG277" s="254"/>
      <c r="BH277" s="254"/>
      <c r="BI277" s="254"/>
      <c r="BJ277" s="254"/>
      <c r="BK277" s="254"/>
      <c r="BL277" s="254"/>
      <c r="BM277" s="254"/>
      <c r="BN277" s="254"/>
      <c r="BO277" s="254"/>
      <c r="BP277" s="254"/>
      <c r="BQ277" s="254"/>
      <c r="BR277" s="254"/>
      <c r="BS277" s="254"/>
      <c r="BT277" s="254"/>
      <c r="BU277" s="254"/>
      <c r="BV277" s="254"/>
      <c r="BW277" s="254"/>
      <c r="BX277" s="254"/>
      <c r="BY277" s="254"/>
      <c r="BZ277" s="254"/>
      <c r="CA277" s="254"/>
      <c r="CB277" s="254"/>
      <c r="CC277" s="254"/>
      <c r="CD277" s="254"/>
      <c r="CE277" s="254"/>
      <c r="CF277" s="254"/>
      <c r="CG277" s="254"/>
      <c r="CH277" s="254"/>
      <c r="CI277" s="254"/>
      <c r="CJ277" s="254"/>
      <c r="CK277" s="254"/>
      <c r="CL277" s="254"/>
      <c r="CM277" s="254"/>
      <c r="CN277" s="254"/>
      <c r="CO277" s="254"/>
      <c r="CP277" s="254"/>
      <c r="CQ277" s="254"/>
      <c r="CR277" s="254"/>
      <c r="CS277" s="254"/>
      <c r="CT277" s="254"/>
      <c r="CU277" s="254"/>
      <c r="CV277" s="254"/>
      <c r="CW277" s="254"/>
      <c r="CX277" s="254"/>
      <c r="CY277" s="254"/>
      <c r="CZ277" s="254"/>
      <c r="DA277" s="254"/>
      <c r="DB277" s="254"/>
      <c r="DC277" s="254"/>
      <c r="DD277" s="254"/>
      <c r="DE277" s="254"/>
      <c r="DF277" s="254"/>
      <c r="DG277" s="254"/>
      <c r="DH277" s="254"/>
      <c r="DI277" s="254"/>
      <c r="DJ277" s="254"/>
      <c r="DK277" s="254"/>
      <c r="DL277" s="254"/>
      <c r="DM277" s="254"/>
      <c r="DN277" s="254"/>
      <c r="DO277" s="254"/>
      <c r="DP277" s="254"/>
      <c r="DQ277" s="254"/>
      <c r="DR277" s="254"/>
      <c r="DS277" s="254"/>
      <c r="DT277" s="254"/>
      <c r="DU277" s="254"/>
      <c r="DV277" s="254"/>
      <c r="DW277" s="254"/>
      <c r="DX277" s="254"/>
      <c r="DY277" s="254"/>
      <c r="DZ277" s="254"/>
      <c r="EA277" s="254"/>
      <c r="EB277" s="254"/>
      <c r="EC277" s="254"/>
      <c r="ED277" s="254"/>
      <c r="EE277" s="254"/>
      <c r="EF277" s="254"/>
      <c r="EG277" s="254"/>
      <c r="EH277" s="254"/>
      <c r="EI277" s="254"/>
      <c r="EJ277" s="254"/>
      <c r="EK277" s="254"/>
      <c r="EL277" s="254"/>
      <c r="EM277" s="254"/>
      <c r="EN277" s="254"/>
      <c r="EO277" s="254"/>
      <c r="EP277" s="254"/>
      <c r="EQ277" s="254"/>
      <c r="ER277" s="254"/>
      <c r="ES277" s="254"/>
      <c r="ET277" s="254"/>
      <c r="EU277" s="254"/>
      <c r="EV277" s="254"/>
      <c r="EW277" s="254"/>
      <c r="EX277" s="254"/>
      <c r="EY277" s="254"/>
      <c r="EZ277" s="254"/>
      <c r="FA277" s="254"/>
      <c r="FB277" s="254"/>
      <c r="FC277" s="254"/>
      <c r="FD277" s="254"/>
      <c r="FE277" s="254"/>
      <c r="FF277" s="254"/>
      <c r="FG277" s="254"/>
      <c r="FH277" s="254"/>
      <c r="FI277" s="254"/>
      <c r="FJ277" s="254"/>
      <c r="FK277" s="254"/>
      <c r="FL277" s="254"/>
      <c r="FM277" s="254"/>
      <c r="FN277" s="254"/>
      <c r="FO277" s="254"/>
      <c r="FP277" s="254"/>
      <c r="FQ277" s="254"/>
      <c r="FR277" s="254"/>
      <c r="FS277" s="254"/>
      <c r="FT277" s="254"/>
      <c r="FU277" s="254"/>
      <c r="FV277" s="254"/>
      <c r="FW277" s="254"/>
      <c r="FX277" s="254"/>
      <c r="FY277" s="254"/>
      <c r="FZ277" s="254"/>
      <c r="GA277" s="254"/>
      <c r="GB277" s="254"/>
      <c r="GC277" s="254"/>
      <c r="GD277" s="254"/>
      <c r="GE277" s="254"/>
      <c r="GF277" s="254"/>
      <c r="GG277" s="254"/>
    </row>
    <row r="278" spans="1:189" s="254" customFormat="1" x14ac:dyDescent="0.25">
      <c r="A278" s="252" t="s">
        <v>123</v>
      </c>
      <c r="B278" s="253">
        <f t="shared" si="287"/>
        <v>30016</v>
      </c>
      <c r="C278" s="253">
        <f t="shared" si="287"/>
        <v>31322</v>
      </c>
      <c r="D278" s="253">
        <f>G278+J278+M278+P278+S278+V278+AB278+Y278</f>
        <v>1306</v>
      </c>
      <c r="E278" s="253">
        <f>SUM(E279:E281)</f>
        <v>0</v>
      </c>
      <c r="F278" s="253">
        <f>SUM(F279:F281)</f>
        <v>0</v>
      </c>
      <c r="G278" s="253">
        <f t="shared" si="297"/>
        <v>0</v>
      </c>
      <c r="H278" s="253">
        <f t="shared" ref="H278" si="424">SUM(H279:H281)</f>
        <v>0</v>
      </c>
      <c r="I278" s="253">
        <f t="shared" ref="I278" si="425">SUM(I279:I281)</f>
        <v>0</v>
      </c>
      <c r="J278" s="253">
        <f t="shared" si="133"/>
        <v>0</v>
      </c>
      <c r="K278" s="253">
        <f t="shared" ref="K278" si="426">SUM(K279:K281)</f>
        <v>0</v>
      </c>
      <c r="L278" s="253">
        <f t="shared" ref="L278" si="427">SUM(L279:L281)</f>
        <v>0</v>
      </c>
      <c r="M278" s="253">
        <f t="shared" si="134"/>
        <v>0</v>
      </c>
      <c r="N278" s="253">
        <f t="shared" ref="N278" si="428">SUM(N279:N281)</f>
        <v>0</v>
      </c>
      <c r="O278" s="253">
        <f t="shared" ref="O278" si="429">SUM(O279:O281)</f>
        <v>0</v>
      </c>
      <c r="P278" s="253">
        <f t="shared" si="135"/>
        <v>0</v>
      </c>
      <c r="Q278" s="253">
        <f t="shared" ref="Q278" si="430">SUM(Q279:Q281)</f>
        <v>30016</v>
      </c>
      <c r="R278" s="253">
        <f t="shared" ref="R278" si="431">SUM(R279:R281)</f>
        <v>31322</v>
      </c>
      <c r="S278" s="253">
        <f t="shared" si="136"/>
        <v>1306</v>
      </c>
      <c r="T278" s="253">
        <f t="shared" ref="T278" si="432">SUM(T279:T281)</f>
        <v>0</v>
      </c>
      <c r="U278" s="253">
        <f t="shared" ref="U278" si="433">SUM(U279:U281)</f>
        <v>0</v>
      </c>
      <c r="V278" s="253">
        <f t="shared" si="137"/>
        <v>0</v>
      </c>
      <c r="W278" s="253">
        <f t="shared" ref="W278:X278" si="434">SUM(W279:W281)</f>
        <v>0</v>
      </c>
      <c r="X278" s="253">
        <f t="shared" si="434"/>
        <v>0</v>
      </c>
      <c r="Y278" s="253">
        <f t="shared" si="138"/>
        <v>0</v>
      </c>
      <c r="Z278" s="253">
        <f t="shared" ref="Z278" si="435">SUM(Z279:Z281)</f>
        <v>0</v>
      </c>
      <c r="AA278" s="253">
        <f t="shared" ref="AA278" si="436">SUM(AA279:AA281)</f>
        <v>0</v>
      </c>
      <c r="AB278" s="253">
        <f t="shared" si="139"/>
        <v>0</v>
      </c>
      <c r="AC278" s="251"/>
      <c r="AD278" s="251"/>
      <c r="AE278" s="251"/>
      <c r="AF278" s="251"/>
      <c r="AG278" s="251"/>
      <c r="AH278" s="251"/>
      <c r="AI278" s="251"/>
      <c r="AJ278" s="251"/>
      <c r="AK278" s="251"/>
      <c r="AL278" s="251"/>
      <c r="AM278" s="251"/>
      <c r="AN278" s="251"/>
      <c r="AO278" s="251"/>
      <c r="AP278" s="251"/>
      <c r="AQ278" s="251"/>
      <c r="AR278" s="251"/>
      <c r="AS278" s="251"/>
      <c r="AT278" s="251"/>
      <c r="AU278" s="251"/>
      <c r="AV278" s="251"/>
      <c r="AW278" s="251"/>
      <c r="AX278" s="251"/>
      <c r="AY278" s="251"/>
      <c r="AZ278" s="251"/>
      <c r="BA278" s="251"/>
      <c r="BB278" s="251"/>
      <c r="BC278" s="251"/>
      <c r="BD278" s="251"/>
      <c r="BE278" s="251"/>
      <c r="BF278" s="251"/>
      <c r="BG278" s="251"/>
      <c r="BH278" s="251"/>
      <c r="BI278" s="251"/>
      <c r="BJ278" s="251"/>
      <c r="BK278" s="251"/>
      <c r="BL278" s="251"/>
      <c r="BM278" s="251"/>
      <c r="BN278" s="251"/>
      <c r="BO278" s="251"/>
      <c r="BP278" s="251"/>
      <c r="BQ278" s="251"/>
      <c r="BR278" s="251"/>
      <c r="BS278" s="251"/>
      <c r="BT278" s="251"/>
      <c r="BU278" s="251"/>
      <c r="BV278" s="251"/>
      <c r="BW278" s="251"/>
      <c r="BX278" s="251"/>
      <c r="BY278" s="251"/>
      <c r="BZ278" s="251"/>
      <c r="CA278" s="251"/>
      <c r="CB278" s="251"/>
      <c r="CC278" s="251"/>
      <c r="CD278" s="251"/>
      <c r="CE278" s="251"/>
      <c r="CF278" s="251"/>
      <c r="CG278" s="251"/>
      <c r="CH278" s="251"/>
      <c r="CI278" s="251"/>
      <c r="CJ278" s="251"/>
      <c r="CK278" s="251"/>
      <c r="CL278" s="251"/>
      <c r="CM278" s="251"/>
      <c r="CN278" s="251"/>
      <c r="CO278" s="251"/>
      <c r="CP278" s="251"/>
      <c r="CQ278" s="251"/>
      <c r="CR278" s="251"/>
      <c r="CS278" s="251"/>
      <c r="CT278" s="251"/>
      <c r="CU278" s="251"/>
      <c r="CV278" s="251"/>
      <c r="CW278" s="251"/>
      <c r="CX278" s="251"/>
      <c r="CY278" s="251"/>
      <c r="CZ278" s="251"/>
      <c r="DA278" s="251"/>
      <c r="DB278" s="251"/>
      <c r="DC278" s="251"/>
      <c r="DD278" s="251"/>
      <c r="DE278" s="251"/>
      <c r="DF278" s="251"/>
      <c r="DG278" s="251"/>
      <c r="DH278" s="251"/>
      <c r="DI278" s="251"/>
      <c r="DJ278" s="251"/>
      <c r="DK278" s="251"/>
      <c r="DL278" s="251"/>
      <c r="DM278" s="251"/>
      <c r="DN278" s="251"/>
      <c r="DO278" s="251"/>
      <c r="DP278" s="251"/>
      <c r="DQ278" s="251"/>
      <c r="DR278" s="251"/>
      <c r="DS278" s="251"/>
      <c r="DT278" s="251"/>
      <c r="DU278" s="251"/>
      <c r="DV278" s="251"/>
      <c r="DW278" s="251"/>
      <c r="DX278" s="251"/>
      <c r="DY278" s="251"/>
      <c r="DZ278" s="251"/>
      <c r="EA278" s="251"/>
      <c r="EB278" s="251"/>
      <c r="EC278" s="251"/>
      <c r="ED278" s="251"/>
      <c r="EE278" s="251"/>
      <c r="EF278" s="251"/>
      <c r="EG278" s="251"/>
      <c r="EH278" s="251"/>
      <c r="EI278" s="251"/>
      <c r="EJ278" s="251"/>
      <c r="EK278" s="251"/>
      <c r="EL278" s="251"/>
      <c r="EM278" s="251"/>
      <c r="EN278" s="251"/>
      <c r="EO278" s="251"/>
      <c r="EP278" s="251"/>
      <c r="EQ278" s="251"/>
      <c r="ER278" s="251"/>
      <c r="ES278" s="251"/>
      <c r="ET278" s="251"/>
      <c r="EU278" s="251"/>
      <c r="EV278" s="251"/>
      <c r="EW278" s="251"/>
      <c r="EX278" s="251"/>
      <c r="EY278" s="251"/>
      <c r="EZ278" s="251"/>
      <c r="FA278" s="251"/>
      <c r="FB278" s="251"/>
      <c r="FC278" s="251"/>
      <c r="FD278" s="251"/>
      <c r="FE278" s="251"/>
      <c r="FF278" s="251"/>
      <c r="FG278" s="251"/>
      <c r="FH278" s="251"/>
      <c r="FI278" s="251"/>
      <c r="FJ278" s="251"/>
      <c r="FK278" s="251"/>
      <c r="FL278" s="251"/>
      <c r="FM278" s="251"/>
      <c r="FN278" s="251"/>
      <c r="FO278" s="251"/>
      <c r="FP278" s="251"/>
      <c r="FQ278" s="251"/>
      <c r="FR278" s="251"/>
      <c r="FS278" s="251"/>
      <c r="FT278" s="251"/>
      <c r="FU278" s="251"/>
      <c r="FV278" s="251"/>
      <c r="FW278" s="251"/>
      <c r="FX278" s="251"/>
      <c r="FY278" s="251"/>
      <c r="FZ278" s="251"/>
      <c r="GA278" s="251"/>
      <c r="GB278" s="251"/>
      <c r="GC278" s="251"/>
      <c r="GD278" s="251"/>
      <c r="GE278" s="251"/>
      <c r="GF278" s="251"/>
      <c r="GG278" s="251"/>
    </row>
    <row r="279" spans="1:189" s="254" customFormat="1" x14ac:dyDescent="0.25">
      <c r="A279" s="259" t="s">
        <v>440</v>
      </c>
      <c r="B279" s="260">
        <f t="shared" si="287"/>
        <v>1700</v>
      </c>
      <c r="C279" s="260">
        <f t="shared" si="287"/>
        <v>1700</v>
      </c>
      <c r="D279" s="260">
        <f>G279+J279+M279+P279+S279+V279+AB279+Y279</f>
        <v>0</v>
      </c>
      <c r="E279" s="260"/>
      <c r="F279" s="260"/>
      <c r="G279" s="260">
        <f t="shared" si="297"/>
        <v>0</v>
      </c>
      <c r="H279" s="260"/>
      <c r="I279" s="260"/>
      <c r="J279" s="260">
        <f t="shared" si="133"/>
        <v>0</v>
      </c>
      <c r="K279" s="260"/>
      <c r="L279" s="260"/>
      <c r="M279" s="260">
        <f t="shared" si="134"/>
        <v>0</v>
      </c>
      <c r="N279" s="260"/>
      <c r="O279" s="260"/>
      <c r="P279" s="260">
        <f t="shared" si="135"/>
        <v>0</v>
      </c>
      <c r="Q279" s="260">
        <v>1700</v>
      </c>
      <c r="R279" s="260">
        <v>1700</v>
      </c>
      <c r="S279" s="260">
        <f t="shared" si="136"/>
        <v>0</v>
      </c>
      <c r="T279" s="260"/>
      <c r="U279" s="260"/>
      <c r="V279" s="260">
        <f t="shared" si="137"/>
        <v>0</v>
      </c>
      <c r="W279" s="260"/>
      <c r="X279" s="260"/>
      <c r="Y279" s="260">
        <f t="shared" si="138"/>
        <v>0</v>
      </c>
      <c r="Z279" s="260"/>
      <c r="AA279" s="260"/>
      <c r="AB279" s="260">
        <f t="shared" si="139"/>
        <v>0</v>
      </c>
    </row>
    <row r="280" spans="1:189" s="254" customFormat="1" ht="31.5" x14ac:dyDescent="0.25">
      <c r="A280" s="259" t="s">
        <v>473</v>
      </c>
      <c r="B280" s="260">
        <f t="shared" si="287"/>
        <v>28316</v>
      </c>
      <c r="C280" s="260">
        <f t="shared" si="287"/>
        <v>28316</v>
      </c>
      <c r="D280" s="260">
        <f>G280+J280+M280+P280+S280+V280+AB280+Y280</f>
        <v>0</v>
      </c>
      <c r="E280" s="260"/>
      <c r="F280" s="260"/>
      <c r="G280" s="260">
        <f t="shared" si="297"/>
        <v>0</v>
      </c>
      <c r="H280" s="260"/>
      <c r="I280" s="260"/>
      <c r="J280" s="260">
        <f t="shared" si="133"/>
        <v>0</v>
      </c>
      <c r="K280" s="260"/>
      <c r="L280" s="260"/>
      <c r="M280" s="260">
        <f t="shared" si="134"/>
        <v>0</v>
      </c>
      <c r="N280" s="260"/>
      <c r="O280" s="260"/>
      <c r="P280" s="260">
        <f t="shared" si="135"/>
        <v>0</v>
      </c>
      <c r="Q280" s="260">
        <f>7079+21237</f>
        <v>28316</v>
      </c>
      <c r="R280" s="260">
        <f>7079+21237</f>
        <v>28316</v>
      </c>
      <c r="S280" s="260">
        <f t="shared" si="136"/>
        <v>0</v>
      </c>
      <c r="T280" s="260"/>
      <c r="U280" s="260"/>
      <c r="V280" s="260">
        <f t="shared" si="137"/>
        <v>0</v>
      </c>
      <c r="W280" s="260"/>
      <c r="X280" s="260"/>
      <c r="Y280" s="260">
        <f t="shared" si="138"/>
        <v>0</v>
      </c>
      <c r="Z280" s="260"/>
      <c r="AA280" s="260"/>
      <c r="AB280" s="260">
        <f t="shared" si="139"/>
        <v>0</v>
      </c>
    </row>
    <row r="281" spans="1:189" s="254" customFormat="1" x14ac:dyDescent="0.25">
      <c r="A281" s="259" t="s">
        <v>562</v>
      </c>
      <c r="B281" s="260">
        <f t="shared" si="287"/>
        <v>0</v>
      </c>
      <c r="C281" s="260">
        <f t="shared" si="287"/>
        <v>1306</v>
      </c>
      <c r="D281" s="260">
        <f>G281+J281+M281+P281+S281+V281+AB281+Y281</f>
        <v>1306</v>
      </c>
      <c r="E281" s="260"/>
      <c r="F281" s="260"/>
      <c r="G281" s="260">
        <f t="shared" si="297"/>
        <v>0</v>
      </c>
      <c r="H281" s="260"/>
      <c r="I281" s="260"/>
      <c r="J281" s="260">
        <f t="shared" si="133"/>
        <v>0</v>
      </c>
      <c r="K281" s="260"/>
      <c r="L281" s="260"/>
      <c r="M281" s="260">
        <f t="shared" si="134"/>
        <v>0</v>
      </c>
      <c r="N281" s="260"/>
      <c r="O281" s="260"/>
      <c r="P281" s="260">
        <f t="shared" si="135"/>
        <v>0</v>
      </c>
      <c r="Q281" s="260">
        <v>0</v>
      </c>
      <c r="R281" s="260">
        <v>1306</v>
      </c>
      <c r="S281" s="260">
        <f t="shared" si="136"/>
        <v>1306</v>
      </c>
      <c r="T281" s="260"/>
      <c r="U281" s="260"/>
      <c r="V281" s="260">
        <f t="shared" si="137"/>
        <v>0</v>
      </c>
      <c r="W281" s="260"/>
      <c r="X281" s="260"/>
      <c r="Y281" s="260">
        <f t="shared" si="138"/>
        <v>0</v>
      </c>
      <c r="Z281" s="260"/>
      <c r="AA281" s="260"/>
      <c r="AB281" s="260">
        <f t="shared" si="139"/>
        <v>0</v>
      </c>
    </row>
    <row r="282" spans="1:189" s="254" customFormat="1" ht="31.5" x14ac:dyDescent="0.25">
      <c r="A282" s="252" t="s">
        <v>39</v>
      </c>
      <c r="B282" s="253">
        <f t="shared" si="287"/>
        <v>733419</v>
      </c>
      <c r="C282" s="253">
        <f t="shared" si="287"/>
        <v>733419</v>
      </c>
      <c r="D282" s="253">
        <f t="shared" si="287"/>
        <v>0</v>
      </c>
      <c r="E282" s="253">
        <f>SUM(E283,E293,E300,E305,E308,E291)</f>
        <v>0</v>
      </c>
      <c r="F282" s="253">
        <f>SUM(F283,F293,F300,F305,F308,F291)</f>
        <v>0</v>
      </c>
      <c r="G282" s="253">
        <f t="shared" si="297"/>
        <v>0</v>
      </c>
      <c r="H282" s="253">
        <f t="shared" ref="H282" si="437">SUM(H283,H293,H300,H305,H308,H291)</f>
        <v>27000</v>
      </c>
      <c r="I282" s="253">
        <f t="shared" ref="I282" si="438">SUM(I283,I293,I300,I305,I308,I291)</f>
        <v>27000</v>
      </c>
      <c r="J282" s="253">
        <f t="shared" si="133"/>
        <v>0</v>
      </c>
      <c r="K282" s="253">
        <f t="shared" ref="K282" si="439">SUM(K283,K293,K300,K305,K308,K291)</f>
        <v>33510</v>
      </c>
      <c r="L282" s="253">
        <f t="shared" ref="L282" si="440">SUM(L283,L293,L300,L305,L308,L291)</f>
        <v>33510</v>
      </c>
      <c r="M282" s="253">
        <f t="shared" si="134"/>
        <v>0</v>
      </c>
      <c r="N282" s="253">
        <f t="shared" ref="N282" si="441">SUM(N283,N293,N300,N305,N308,N291)</f>
        <v>647608</v>
      </c>
      <c r="O282" s="253">
        <f t="shared" ref="O282" si="442">SUM(O283,O293,O300,O305,O308,O291)</f>
        <v>647608</v>
      </c>
      <c r="P282" s="253">
        <f t="shared" si="135"/>
        <v>0</v>
      </c>
      <c r="Q282" s="253">
        <f t="shared" ref="Q282" si="443">SUM(Q283,Q293,Q300,Q305,Q308,Q291)</f>
        <v>25301</v>
      </c>
      <c r="R282" s="253">
        <f t="shared" ref="R282" si="444">SUM(R283,R293,R300,R305,R308,R291)</f>
        <v>25301</v>
      </c>
      <c r="S282" s="253">
        <f t="shared" si="136"/>
        <v>0</v>
      </c>
      <c r="T282" s="253">
        <f t="shared" ref="T282" si="445">SUM(T283,T293,T300,T305,T308,T291)</f>
        <v>0</v>
      </c>
      <c r="U282" s="253">
        <f t="shared" ref="U282" si="446">SUM(U283,U293,U300,U305,U308,U291)</f>
        <v>0</v>
      </c>
      <c r="V282" s="253">
        <f t="shared" si="137"/>
        <v>0</v>
      </c>
      <c r="W282" s="253">
        <f t="shared" ref="W282:X282" si="447">SUM(W283,W293,W300,W305,W308,W291)</f>
        <v>0</v>
      </c>
      <c r="X282" s="253">
        <f t="shared" si="447"/>
        <v>0</v>
      </c>
      <c r="Y282" s="253">
        <f t="shared" si="138"/>
        <v>0</v>
      </c>
      <c r="Z282" s="253">
        <f t="shared" ref="Z282" si="448">SUM(Z283,Z293,Z300,Z305,Z308,Z291)</f>
        <v>0</v>
      </c>
      <c r="AA282" s="253">
        <f t="shared" ref="AA282" si="449">SUM(AA283,AA293,AA300,AA305,AA308,AA291)</f>
        <v>0</v>
      </c>
      <c r="AB282" s="253">
        <f t="shared" si="139"/>
        <v>0</v>
      </c>
    </row>
    <row r="283" spans="1:189" s="254" customFormat="1" x14ac:dyDescent="0.25">
      <c r="A283" s="252" t="s">
        <v>101</v>
      </c>
      <c r="B283" s="253">
        <f t="shared" si="287"/>
        <v>48526</v>
      </c>
      <c r="C283" s="253">
        <f t="shared" si="287"/>
        <v>48526</v>
      </c>
      <c r="D283" s="253">
        <f t="shared" si="287"/>
        <v>0</v>
      </c>
      <c r="E283" s="253">
        <f t="shared" ref="E283" si="450">SUM(E284:E290)</f>
        <v>0</v>
      </c>
      <c r="F283" s="253">
        <f t="shared" ref="F283" si="451">SUM(F284:F290)</f>
        <v>0</v>
      </c>
      <c r="G283" s="253">
        <f t="shared" si="297"/>
        <v>0</v>
      </c>
      <c r="H283" s="253">
        <f t="shared" ref="H283" si="452">SUM(H284:H290)</f>
        <v>0</v>
      </c>
      <c r="I283" s="253">
        <f t="shared" ref="I283:AA283" si="453">SUM(I284:I290)</f>
        <v>0</v>
      </c>
      <c r="J283" s="253">
        <f t="shared" si="133"/>
        <v>0</v>
      </c>
      <c r="K283" s="253">
        <f t="shared" ref="K283" si="454">SUM(K284:K290)</f>
        <v>2754</v>
      </c>
      <c r="L283" s="253">
        <f t="shared" si="453"/>
        <v>2754</v>
      </c>
      <c r="M283" s="253">
        <f t="shared" si="134"/>
        <v>0</v>
      </c>
      <c r="N283" s="253">
        <f t="shared" ref="N283" si="455">SUM(N284:N290)</f>
        <v>40152</v>
      </c>
      <c r="O283" s="253">
        <f t="shared" si="453"/>
        <v>40152</v>
      </c>
      <c r="P283" s="253">
        <f t="shared" si="135"/>
        <v>0</v>
      </c>
      <c r="Q283" s="253">
        <f t="shared" ref="Q283" si="456">SUM(Q284:Q290)</f>
        <v>5620</v>
      </c>
      <c r="R283" s="253">
        <f t="shared" si="453"/>
        <v>5620</v>
      </c>
      <c r="S283" s="253">
        <f t="shared" si="136"/>
        <v>0</v>
      </c>
      <c r="T283" s="253">
        <f t="shared" ref="T283" si="457">SUM(T284:T290)</f>
        <v>0</v>
      </c>
      <c r="U283" s="253">
        <f t="shared" si="453"/>
        <v>0</v>
      </c>
      <c r="V283" s="253">
        <f t="shared" si="137"/>
        <v>0</v>
      </c>
      <c r="W283" s="253">
        <f t="shared" ref="W283" si="458">SUM(W284:W290)</f>
        <v>0</v>
      </c>
      <c r="X283" s="253">
        <f t="shared" si="453"/>
        <v>0</v>
      </c>
      <c r="Y283" s="253">
        <f t="shared" si="138"/>
        <v>0</v>
      </c>
      <c r="Z283" s="253">
        <f t="shared" ref="Z283" si="459">SUM(Z284:Z290)</f>
        <v>0</v>
      </c>
      <c r="AA283" s="253">
        <f t="shared" si="453"/>
        <v>0</v>
      </c>
      <c r="AB283" s="253">
        <f t="shared" si="139"/>
        <v>0</v>
      </c>
      <c r="AC283" s="251"/>
      <c r="AD283" s="251"/>
      <c r="AE283" s="251"/>
      <c r="AF283" s="251"/>
      <c r="AG283" s="251"/>
      <c r="AH283" s="251"/>
      <c r="AI283" s="251"/>
      <c r="AJ283" s="251"/>
      <c r="AK283" s="251"/>
      <c r="AL283" s="251"/>
      <c r="AM283" s="251"/>
      <c r="AN283" s="251"/>
      <c r="AO283" s="251"/>
      <c r="AP283" s="251"/>
      <c r="AQ283" s="251"/>
      <c r="AR283" s="251"/>
      <c r="AS283" s="251"/>
      <c r="AT283" s="251"/>
      <c r="AU283" s="251"/>
      <c r="AV283" s="251"/>
      <c r="AW283" s="251"/>
      <c r="AX283" s="251"/>
      <c r="AY283" s="251"/>
      <c r="AZ283" s="251"/>
      <c r="BA283" s="251"/>
      <c r="BB283" s="251"/>
      <c r="BC283" s="251"/>
      <c r="BD283" s="251"/>
      <c r="BE283" s="251"/>
      <c r="BF283" s="251"/>
      <c r="BG283" s="251"/>
      <c r="BH283" s="251"/>
      <c r="BI283" s="251"/>
      <c r="BJ283" s="251"/>
      <c r="BK283" s="251"/>
      <c r="BL283" s="251"/>
      <c r="BM283" s="251"/>
      <c r="BN283" s="251"/>
      <c r="BO283" s="251"/>
      <c r="BP283" s="251"/>
      <c r="BQ283" s="251"/>
      <c r="BR283" s="251"/>
      <c r="BS283" s="251"/>
      <c r="BT283" s="251"/>
      <c r="BU283" s="251"/>
      <c r="BV283" s="251"/>
      <c r="BW283" s="251"/>
      <c r="BX283" s="251"/>
      <c r="BY283" s="251"/>
      <c r="BZ283" s="251"/>
      <c r="CA283" s="251"/>
      <c r="CB283" s="251"/>
      <c r="CC283" s="251"/>
      <c r="CD283" s="251"/>
      <c r="CE283" s="251"/>
      <c r="CF283" s="251"/>
      <c r="CG283" s="251"/>
      <c r="CH283" s="251"/>
      <c r="CI283" s="251"/>
      <c r="CJ283" s="251"/>
      <c r="CK283" s="251"/>
      <c r="CL283" s="251"/>
      <c r="CM283" s="251"/>
      <c r="CN283" s="251"/>
      <c r="CO283" s="251"/>
      <c r="CP283" s="251"/>
      <c r="CQ283" s="251"/>
      <c r="CR283" s="251"/>
      <c r="CS283" s="251"/>
      <c r="CT283" s="251"/>
      <c r="CU283" s="251"/>
      <c r="CV283" s="251"/>
      <c r="CW283" s="251"/>
      <c r="CX283" s="251"/>
      <c r="CY283" s="251"/>
      <c r="CZ283" s="251"/>
      <c r="DA283" s="251"/>
      <c r="DB283" s="251"/>
      <c r="DC283" s="251"/>
      <c r="DD283" s="251"/>
      <c r="DE283" s="251"/>
      <c r="DF283" s="251"/>
      <c r="DG283" s="251"/>
      <c r="DH283" s="251"/>
      <c r="DI283" s="251"/>
      <c r="DJ283" s="251"/>
      <c r="DK283" s="251"/>
      <c r="DL283" s="251"/>
      <c r="DM283" s="251"/>
      <c r="DN283" s="251"/>
      <c r="DO283" s="251"/>
      <c r="DP283" s="251"/>
      <c r="DQ283" s="251"/>
      <c r="DR283" s="251"/>
      <c r="DS283" s="251"/>
      <c r="DT283" s="251"/>
      <c r="DU283" s="251"/>
      <c r="DV283" s="251"/>
      <c r="DW283" s="251"/>
      <c r="DX283" s="251"/>
      <c r="DY283" s="251"/>
      <c r="DZ283" s="251"/>
      <c r="EA283" s="251"/>
      <c r="EB283" s="251"/>
      <c r="EC283" s="251"/>
      <c r="ED283" s="251"/>
      <c r="EE283" s="251"/>
      <c r="EF283" s="251"/>
      <c r="EG283" s="251"/>
      <c r="EH283" s="251"/>
      <c r="EI283" s="251"/>
      <c r="EJ283" s="251"/>
      <c r="EK283" s="251"/>
      <c r="EL283" s="251"/>
      <c r="EM283" s="251"/>
      <c r="EN283" s="251"/>
      <c r="EO283" s="251"/>
      <c r="EP283" s="251"/>
      <c r="EQ283" s="251"/>
      <c r="ER283" s="251"/>
      <c r="ES283" s="251"/>
      <c r="ET283" s="251"/>
      <c r="EU283" s="251"/>
      <c r="EV283" s="251"/>
      <c r="EW283" s="251"/>
      <c r="EX283" s="251"/>
      <c r="EY283" s="251"/>
      <c r="EZ283" s="251"/>
      <c r="FA283" s="251"/>
      <c r="FB283" s="251"/>
      <c r="FC283" s="251"/>
      <c r="FD283" s="251"/>
      <c r="FE283" s="251"/>
      <c r="FF283" s="251"/>
      <c r="FG283" s="251"/>
      <c r="FH283" s="251"/>
      <c r="FI283" s="251"/>
      <c r="FJ283" s="251"/>
      <c r="FK283" s="251"/>
      <c r="FL283" s="251"/>
      <c r="FM283" s="251"/>
      <c r="FN283" s="251"/>
      <c r="FO283" s="251"/>
      <c r="FP283" s="251"/>
      <c r="FQ283" s="251"/>
      <c r="FR283" s="251"/>
      <c r="FS283" s="251"/>
      <c r="FT283" s="251"/>
      <c r="FU283" s="251"/>
      <c r="FV283" s="251"/>
      <c r="FW283" s="251"/>
      <c r="FX283" s="251"/>
      <c r="FY283" s="251"/>
      <c r="FZ283" s="251"/>
      <c r="GA283" s="251"/>
      <c r="GB283" s="251"/>
      <c r="GC283" s="251"/>
      <c r="GD283" s="251"/>
      <c r="GE283" s="251"/>
      <c r="GF283" s="251"/>
      <c r="GG283" s="251"/>
    </row>
    <row r="284" spans="1:189" s="254" customFormat="1" ht="31.5" x14ac:dyDescent="0.25">
      <c r="A284" s="259" t="s">
        <v>134</v>
      </c>
      <c r="B284" s="260">
        <f t="shared" si="287"/>
        <v>2754</v>
      </c>
      <c r="C284" s="260">
        <f t="shared" si="287"/>
        <v>2754</v>
      </c>
      <c r="D284" s="260">
        <f t="shared" si="287"/>
        <v>0</v>
      </c>
      <c r="E284" s="260"/>
      <c r="F284" s="260"/>
      <c r="G284" s="260">
        <f t="shared" si="297"/>
        <v>0</v>
      </c>
      <c r="H284" s="260"/>
      <c r="I284" s="260"/>
      <c r="J284" s="260">
        <f t="shared" si="133"/>
        <v>0</v>
      </c>
      <c r="K284" s="260">
        <f>1330+1424</f>
        <v>2754</v>
      </c>
      <c r="L284" s="260">
        <f>1330+1424</f>
        <v>2754</v>
      </c>
      <c r="M284" s="260">
        <f t="shared" si="134"/>
        <v>0</v>
      </c>
      <c r="N284" s="260"/>
      <c r="O284" s="260"/>
      <c r="P284" s="260">
        <f t="shared" si="135"/>
        <v>0</v>
      </c>
      <c r="Q284" s="260"/>
      <c r="R284" s="260"/>
      <c r="S284" s="260">
        <f t="shared" si="136"/>
        <v>0</v>
      </c>
      <c r="T284" s="260"/>
      <c r="U284" s="260"/>
      <c r="V284" s="260">
        <f t="shared" si="137"/>
        <v>0</v>
      </c>
      <c r="W284" s="260"/>
      <c r="X284" s="260"/>
      <c r="Y284" s="260">
        <f t="shared" si="138"/>
        <v>0</v>
      </c>
      <c r="Z284" s="260"/>
      <c r="AA284" s="260"/>
      <c r="AB284" s="260">
        <f t="shared" si="139"/>
        <v>0</v>
      </c>
    </row>
    <row r="285" spans="1:189" s="251" customFormat="1" x14ac:dyDescent="0.25">
      <c r="A285" s="261" t="s">
        <v>135</v>
      </c>
      <c r="B285" s="263">
        <f t="shared" si="287"/>
        <v>726</v>
      </c>
      <c r="C285" s="263">
        <f t="shared" si="287"/>
        <v>726</v>
      </c>
      <c r="D285" s="263">
        <f t="shared" si="287"/>
        <v>0</v>
      </c>
      <c r="E285" s="263"/>
      <c r="F285" s="263"/>
      <c r="G285" s="263">
        <f t="shared" si="297"/>
        <v>0</v>
      </c>
      <c r="H285" s="263"/>
      <c r="I285" s="263"/>
      <c r="J285" s="263">
        <f t="shared" si="133"/>
        <v>0</v>
      </c>
      <c r="K285" s="263"/>
      <c r="L285" s="263"/>
      <c r="M285" s="263">
        <f t="shared" si="134"/>
        <v>0</v>
      </c>
      <c r="N285" s="263"/>
      <c r="O285" s="263"/>
      <c r="P285" s="263">
        <f t="shared" si="135"/>
        <v>0</v>
      </c>
      <c r="Q285" s="263">
        <v>726</v>
      </c>
      <c r="R285" s="263">
        <v>726</v>
      </c>
      <c r="S285" s="263">
        <f t="shared" si="136"/>
        <v>0</v>
      </c>
      <c r="T285" s="263"/>
      <c r="U285" s="263"/>
      <c r="V285" s="263">
        <f t="shared" si="137"/>
        <v>0</v>
      </c>
      <c r="W285" s="263"/>
      <c r="X285" s="263"/>
      <c r="Y285" s="263">
        <f t="shared" si="138"/>
        <v>0</v>
      </c>
      <c r="Z285" s="263"/>
      <c r="AA285" s="263"/>
      <c r="AB285" s="263">
        <f t="shared" si="139"/>
        <v>0</v>
      </c>
      <c r="AC285" s="254"/>
      <c r="AD285" s="254"/>
      <c r="AE285" s="254"/>
      <c r="AF285" s="254"/>
      <c r="AG285" s="254"/>
      <c r="AH285" s="254"/>
      <c r="AI285" s="254"/>
      <c r="AJ285" s="254"/>
      <c r="AK285" s="254"/>
      <c r="AL285" s="254"/>
      <c r="AM285" s="254"/>
      <c r="AN285" s="254"/>
      <c r="AO285" s="254"/>
      <c r="AP285" s="254"/>
      <c r="AQ285" s="254"/>
      <c r="AR285" s="254"/>
      <c r="AS285" s="254"/>
      <c r="AT285" s="254"/>
      <c r="AU285" s="254"/>
      <c r="AV285" s="254"/>
      <c r="AW285" s="254"/>
      <c r="AX285" s="254"/>
      <c r="AY285" s="254"/>
      <c r="AZ285" s="254"/>
      <c r="BA285" s="254"/>
      <c r="BB285" s="254"/>
      <c r="BC285" s="254"/>
      <c r="BD285" s="254"/>
      <c r="BE285" s="254"/>
      <c r="BF285" s="254"/>
      <c r="BG285" s="254"/>
      <c r="BH285" s="254"/>
      <c r="BI285" s="254"/>
      <c r="BJ285" s="254"/>
      <c r="BK285" s="254"/>
      <c r="BL285" s="254"/>
      <c r="BM285" s="254"/>
      <c r="BN285" s="254"/>
      <c r="BO285" s="254"/>
      <c r="BP285" s="254"/>
      <c r="BQ285" s="254"/>
      <c r="BR285" s="254"/>
      <c r="BS285" s="254"/>
      <c r="BT285" s="254"/>
      <c r="BU285" s="254"/>
      <c r="BV285" s="254"/>
      <c r="BW285" s="254"/>
      <c r="BX285" s="254"/>
      <c r="BY285" s="254"/>
      <c r="BZ285" s="254"/>
      <c r="CA285" s="254"/>
      <c r="CB285" s="254"/>
      <c r="CC285" s="254"/>
      <c r="CD285" s="254"/>
      <c r="CE285" s="254"/>
      <c r="CF285" s="254"/>
      <c r="CG285" s="254"/>
      <c r="CH285" s="254"/>
      <c r="CI285" s="254"/>
      <c r="CJ285" s="254"/>
      <c r="CK285" s="254"/>
      <c r="CL285" s="254"/>
      <c r="CM285" s="254"/>
      <c r="CN285" s="254"/>
      <c r="CO285" s="254"/>
      <c r="CP285" s="254"/>
      <c r="CQ285" s="254"/>
      <c r="CR285" s="254"/>
      <c r="CS285" s="254"/>
      <c r="CT285" s="254"/>
      <c r="CU285" s="254"/>
      <c r="CV285" s="254"/>
      <c r="CW285" s="254"/>
      <c r="CX285" s="254"/>
      <c r="CY285" s="254"/>
      <c r="CZ285" s="254"/>
      <c r="DA285" s="254"/>
      <c r="DB285" s="254"/>
      <c r="DC285" s="254"/>
      <c r="DD285" s="254"/>
      <c r="DE285" s="254"/>
      <c r="DF285" s="254"/>
      <c r="DG285" s="254"/>
      <c r="DH285" s="254"/>
      <c r="DI285" s="254"/>
      <c r="DJ285" s="254"/>
      <c r="DK285" s="254"/>
      <c r="DL285" s="254"/>
      <c r="DM285" s="254"/>
      <c r="DN285" s="254"/>
      <c r="DO285" s="254"/>
      <c r="DP285" s="254"/>
      <c r="DQ285" s="254"/>
      <c r="DR285" s="254"/>
      <c r="DS285" s="254"/>
      <c r="DT285" s="254"/>
      <c r="DU285" s="254"/>
      <c r="DV285" s="254"/>
      <c r="DW285" s="254"/>
      <c r="DX285" s="254"/>
      <c r="DY285" s="254"/>
      <c r="DZ285" s="254"/>
      <c r="EA285" s="254"/>
      <c r="EB285" s="254"/>
      <c r="EC285" s="254"/>
      <c r="ED285" s="254"/>
      <c r="EE285" s="254"/>
      <c r="EF285" s="254"/>
      <c r="EG285" s="254"/>
      <c r="EH285" s="254"/>
      <c r="EI285" s="254"/>
      <c r="EJ285" s="254"/>
      <c r="EK285" s="254"/>
      <c r="EL285" s="254"/>
      <c r="EM285" s="254"/>
      <c r="EN285" s="254"/>
      <c r="EO285" s="254"/>
      <c r="EP285" s="254"/>
      <c r="EQ285" s="254"/>
      <c r="ER285" s="254"/>
      <c r="ES285" s="254"/>
      <c r="ET285" s="254"/>
      <c r="EU285" s="254"/>
      <c r="EV285" s="254"/>
      <c r="EW285" s="254"/>
      <c r="EX285" s="254"/>
      <c r="EY285" s="254"/>
      <c r="EZ285" s="254"/>
      <c r="FA285" s="254"/>
      <c r="FB285" s="254"/>
      <c r="FC285" s="254"/>
      <c r="FD285" s="254"/>
      <c r="FE285" s="254"/>
      <c r="FF285" s="254"/>
      <c r="FG285" s="254"/>
      <c r="FH285" s="254"/>
      <c r="FI285" s="254"/>
      <c r="FJ285" s="254"/>
      <c r="FK285" s="254"/>
      <c r="FL285" s="254"/>
      <c r="FM285" s="254"/>
      <c r="FN285" s="254"/>
      <c r="FO285" s="254"/>
      <c r="FP285" s="254"/>
      <c r="FQ285" s="254"/>
      <c r="FR285" s="254"/>
      <c r="FS285" s="254"/>
      <c r="FT285" s="254"/>
      <c r="FU285" s="254"/>
      <c r="FV285" s="254"/>
      <c r="FW285" s="254"/>
      <c r="FX285" s="254"/>
      <c r="FY285" s="254"/>
      <c r="FZ285" s="254"/>
      <c r="GA285" s="254"/>
      <c r="GB285" s="254"/>
      <c r="GC285" s="254"/>
      <c r="GD285" s="254"/>
      <c r="GE285" s="254"/>
      <c r="GF285" s="254"/>
      <c r="GG285" s="254"/>
    </row>
    <row r="286" spans="1:189" s="251" customFormat="1" x14ac:dyDescent="0.25">
      <c r="A286" s="261" t="s">
        <v>136</v>
      </c>
      <c r="B286" s="263">
        <f t="shared" si="287"/>
        <v>4894</v>
      </c>
      <c r="C286" s="263">
        <f t="shared" si="287"/>
        <v>4894</v>
      </c>
      <c r="D286" s="263">
        <f t="shared" si="287"/>
        <v>0</v>
      </c>
      <c r="E286" s="263"/>
      <c r="F286" s="263"/>
      <c r="G286" s="263">
        <f t="shared" si="297"/>
        <v>0</v>
      </c>
      <c r="H286" s="263"/>
      <c r="I286" s="263"/>
      <c r="J286" s="263">
        <f t="shared" si="133"/>
        <v>0</v>
      </c>
      <c r="K286" s="263"/>
      <c r="L286" s="263"/>
      <c r="M286" s="263">
        <f t="shared" si="134"/>
        <v>0</v>
      </c>
      <c r="N286" s="263"/>
      <c r="O286" s="263"/>
      <c r="P286" s="263">
        <f t="shared" si="135"/>
        <v>0</v>
      </c>
      <c r="Q286" s="263">
        <v>4894</v>
      </c>
      <c r="R286" s="263">
        <v>4894</v>
      </c>
      <c r="S286" s="263">
        <f t="shared" si="136"/>
        <v>0</v>
      </c>
      <c r="T286" s="263"/>
      <c r="U286" s="263"/>
      <c r="V286" s="263">
        <f t="shared" si="137"/>
        <v>0</v>
      </c>
      <c r="W286" s="263"/>
      <c r="X286" s="263"/>
      <c r="Y286" s="263">
        <f t="shared" si="138"/>
        <v>0</v>
      </c>
      <c r="Z286" s="263"/>
      <c r="AA286" s="263"/>
      <c r="AB286" s="263">
        <f t="shared" si="139"/>
        <v>0</v>
      </c>
      <c r="AC286" s="254"/>
      <c r="AD286" s="254"/>
      <c r="AE286" s="254"/>
      <c r="AF286" s="254"/>
      <c r="AG286" s="254"/>
      <c r="AH286" s="254"/>
      <c r="AI286" s="254"/>
      <c r="AJ286" s="254"/>
      <c r="AK286" s="254"/>
      <c r="AL286" s="254"/>
      <c r="AM286" s="254"/>
      <c r="AN286" s="254"/>
      <c r="AO286" s="254"/>
      <c r="AP286" s="254"/>
      <c r="AQ286" s="254"/>
      <c r="AR286" s="254"/>
      <c r="AS286" s="254"/>
      <c r="AT286" s="254"/>
      <c r="AU286" s="254"/>
      <c r="AV286" s="254"/>
      <c r="AW286" s="254"/>
      <c r="AX286" s="254"/>
      <c r="AY286" s="254"/>
      <c r="AZ286" s="254"/>
      <c r="BA286" s="254"/>
      <c r="BB286" s="254"/>
      <c r="BC286" s="254"/>
      <c r="BD286" s="254"/>
      <c r="BE286" s="254"/>
      <c r="BF286" s="254"/>
      <c r="BG286" s="254"/>
      <c r="BH286" s="254"/>
      <c r="BI286" s="254"/>
      <c r="BJ286" s="254"/>
      <c r="BK286" s="254"/>
      <c r="BL286" s="254"/>
      <c r="BM286" s="254"/>
      <c r="BN286" s="254"/>
      <c r="BO286" s="254"/>
      <c r="BP286" s="254"/>
      <c r="BQ286" s="254"/>
      <c r="BR286" s="254"/>
      <c r="BS286" s="254"/>
      <c r="BT286" s="254"/>
      <c r="BU286" s="254"/>
      <c r="BV286" s="254"/>
      <c r="BW286" s="254"/>
      <c r="BX286" s="254"/>
      <c r="BY286" s="254"/>
      <c r="BZ286" s="254"/>
      <c r="CA286" s="254"/>
      <c r="CB286" s="254"/>
      <c r="CC286" s="254"/>
      <c r="CD286" s="254"/>
      <c r="CE286" s="254"/>
      <c r="CF286" s="254"/>
      <c r="CG286" s="254"/>
      <c r="CH286" s="254"/>
      <c r="CI286" s="254"/>
      <c r="CJ286" s="254"/>
      <c r="CK286" s="254"/>
      <c r="CL286" s="254"/>
      <c r="CM286" s="254"/>
      <c r="CN286" s="254"/>
      <c r="CO286" s="254"/>
      <c r="CP286" s="254"/>
      <c r="CQ286" s="254"/>
      <c r="CR286" s="254"/>
      <c r="CS286" s="254"/>
      <c r="CT286" s="254"/>
      <c r="CU286" s="254"/>
      <c r="CV286" s="254"/>
      <c r="CW286" s="254"/>
      <c r="CX286" s="254"/>
      <c r="CY286" s="254"/>
      <c r="CZ286" s="254"/>
      <c r="DA286" s="254"/>
      <c r="DB286" s="254"/>
      <c r="DC286" s="254"/>
      <c r="DD286" s="254"/>
      <c r="DE286" s="254"/>
      <c r="DF286" s="254"/>
      <c r="DG286" s="254"/>
      <c r="DH286" s="254"/>
      <c r="DI286" s="254"/>
      <c r="DJ286" s="254"/>
      <c r="DK286" s="254"/>
      <c r="DL286" s="254"/>
      <c r="DM286" s="254"/>
      <c r="DN286" s="254"/>
      <c r="DO286" s="254"/>
      <c r="DP286" s="254"/>
      <c r="DQ286" s="254"/>
      <c r="DR286" s="254"/>
      <c r="DS286" s="254"/>
      <c r="DT286" s="254"/>
      <c r="DU286" s="254"/>
      <c r="DV286" s="254"/>
      <c r="DW286" s="254"/>
      <c r="DX286" s="254"/>
      <c r="DY286" s="254"/>
      <c r="DZ286" s="254"/>
      <c r="EA286" s="254"/>
      <c r="EB286" s="254"/>
      <c r="EC286" s="254"/>
      <c r="ED286" s="254"/>
      <c r="EE286" s="254"/>
      <c r="EF286" s="254"/>
      <c r="EG286" s="254"/>
      <c r="EH286" s="254"/>
      <c r="EI286" s="254"/>
      <c r="EJ286" s="254"/>
      <c r="EK286" s="254"/>
      <c r="EL286" s="254"/>
      <c r="EM286" s="254"/>
      <c r="EN286" s="254"/>
      <c r="EO286" s="254"/>
      <c r="EP286" s="254"/>
      <c r="EQ286" s="254"/>
      <c r="ER286" s="254"/>
      <c r="ES286" s="254"/>
      <c r="ET286" s="254"/>
      <c r="EU286" s="254"/>
      <c r="EV286" s="254"/>
      <c r="EW286" s="254"/>
      <c r="EX286" s="254"/>
      <c r="EY286" s="254"/>
      <c r="EZ286" s="254"/>
      <c r="FA286" s="254"/>
      <c r="FB286" s="254"/>
      <c r="FC286" s="254"/>
      <c r="FD286" s="254"/>
      <c r="FE286" s="254"/>
      <c r="FF286" s="254"/>
      <c r="FG286" s="254"/>
      <c r="FH286" s="254"/>
      <c r="FI286" s="254"/>
      <c r="FJ286" s="254"/>
      <c r="FK286" s="254"/>
      <c r="FL286" s="254"/>
      <c r="FM286" s="254"/>
      <c r="FN286" s="254"/>
      <c r="FO286" s="254"/>
      <c r="FP286" s="254"/>
      <c r="FQ286" s="254"/>
      <c r="FR286" s="254"/>
      <c r="FS286" s="254"/>
      <c r="FT286" s="254"/>
      <c r="FU286" s="254"/>
      <c r="FV286" s="254"/>
      <c r="FW286" s="254"/>
      <c r="FX286" s="254"/>
      <c r="FY286" s="254"/>
      <c r="FZ286" s="254"/>
      <c r="GA286" s="254"/>
      <c r="GB286" s="254"/>
      <c r="GC286" s="254"/>
      <c r="GD286" s="254"/>
      <c r="GE286" s="254"/>
      <c r="GF286" s="254"/>
      <c r="GG286" s="254"/>
    </row>
    <row r="287" spans="1:189" s="254" customFormat="1" ht="78.75" x14ac:dyDescent="0.25">
      <c r="A287" s="264" t="s">
        <v>137</v>
      </c>
      <c r="B287" s="260">
        <f t="shared" si="287"/>
        <v>3480</v>
      </c>
      <c r="C287" s="260">
        <f t="shared" si="287"/>
        <v>3480</v>
      </c>
      <c r="D287" s="260">
        <f t="shared" si="287"/>
        <v>0</v>
      </c>
      <c r="E287" s="260"/>
      <c r="F287" s="260"/>
      <c r="G287" s="260">
        <f t="shared" si="297"/>
        <v>0</v>
      </c>
      <c r="H287" s="260"/>
      <c r="I287" s="260"/>
      <c r="J287" s="260">
        <f t="shared" si="133"/>
        <v>0</v>
      </c>
      <c r="K287" s="260"/>
      <c r="L287" s="260"/>
      <c r="M287" s="260">
        <f t="shared" si="134"/>
        <v>0</v>
      </c>
      <c r="N287" s="263">
        <v>3480</v>
      </c>
      <c r="O287" s="263">
        <v>3480</v>
      </c>
      <c r="P287" s="260">
        <f t="shared" si="135"/>
        <v>0</v>
      </c>
      <c r="Q287" s="260"/>
      <c r="R287" s="260"/>
      <c r="S287" s="260">
        <f t="shared" si="136"/>
        <v>0</v>
      </c>
      <c r="T287" s="260"/>
      <c r="U287" s="260"/>
      <c r="V287" s="260">
        <f t="shared" si="137"/>
        <v>0</v>
      </c>
      <c r="W287" s="260"/>
      <c r="X287" s="260"/>
      <c r="Y287" s="260">
        <f t="shared" si="138"/>
        <v>0</v>
      </c>
      <c r="Z287" s="260"/>
      <c r="AA287" s="260"/>
      <c r="AB287" s="260">
        <f t="shared" si="139"/>
        <v>0</v>
      </c>
    </row>
    <row r="288" spans="1:189" s="254" customFormat="1" ht="52.5" customHeight="1" x14ac:dyDescent="0.25">
      <c r="A288" s="261" t="s">
        <v>449</v>
      </c>
      <c r="B288" s="257">
        <f t="shared" si="287"/>
        <v>27500</v>
      </c>
      <c r="C288" s="257">
        <f t="shared" si="287"/>
        <v>27500</v>
      </c>
      <c r="D288" s="257">
        <f t="shared" si="287"/>
        <v>0</v>
      </c>
      <c r="E288" s="257"/>
      <c r="F288" s="257"/>
      <c r="G288" s="257">
        <f t="shared" si="297"/>
        <v>0</v>
      </c>
      <c r="H288" s="257"/>
      <c r="I288" s="257"/>
      <c r="J288" s="257">
        <f t="shared" si="133"/>
        <v>0</v>
      </c>
      <c r="K288" s="257"/>
      <c r="L288" s="257"/>
      <c r="M288" s="257">
        <f t="shared" si="134"/>
        <v>0</v>
      </c>
      <c r="N288" s="257">
        <v>27500</v>
      </c>
      <c r="O288" s="257">
        <v>27500</v>
      </c>
      <c r="P288" s="257">
        <f t="shared" si="135"/>
        <v>0</v>
      </c>
      <c r="Q288" s="257"/>
      <c r="R288" s="257"/>
      <c r="S288" s="257">
        <f t="shared" si="136"/>
        <v>0</v>
      </c>
      <c r="T288" s="257"/>
      <c r="U288" s="257"/>
      <c r="V288" s="257">
        <f t="shared" si="137"/>
        <v>0</v>
      </c>
      <c r="W288" s="257"/>
      <c r="X288" s="257"/>
      <c r="Y288" s="257">
        <f t="shared" si="138"/>
        <v>0</v>
      </c>
      <c r="Z288" s="257"/>
      <c r="AA288" s="257"/>
      <c r="AB288" s="257">
        <f t="shared" si="139"/>
        <v>0</v>
      </c>
    </row>
    <row r="289" spans="1:189" s="254" customFormat="1" ht="94.5" x14ac:dyDescent="0.25">
      <c r="A289" s="261" t="s">
        <v>138</v>
      </c>
      <c r="B289" s="257">
        <f t="shared" si="287"/>
        <v>5500</v>
      </c>
      <c r="C289" s="257">
        <f t="shared" si="287"/>
        <v>5500</v>
      </c>
      <c r="D289" s="257">
        <f t="shared" si="287"/>
        <v>0</v>
      </c>
      <c r="E289" s="257"/>
      <c r="F289" s="257"/>
      <c r="G289" s="257">
        <f t="shared" si="297"/>
        <v>0</v>
      </c>
      <c r="H289" s="257"/>
      <c r="I289" s="257"/>
      <c r="J289" s="257">
        <f t="shared" si="133"/>
        <v>0</v>
      </c>
      <c r="K289" s="257"/>
      <c r="L289" s="257"/>
      <c r="M289" s="257">
        <f t="shared" si="134"/>
        <v>0</v>
      </c>
      <c r="N289" s="257">
        <v>5500</v>
      </c>
      <c r="O289" s="257">
        <v>5500</v>
      </c>
      <c r="P289" s="257">
        <f t="shared" si="135"/>
        <v>0</v>
      </c>
      <c r="Q289" s="257"/>
      <c r="R289" s="257"/>
      <c r="S289" s="257">
        <f t="shared" si="136"/>
        <v>0</v>
      </c>
      <c r="T289" s="257"/>
      <c r="U289" s="257"/>
      <c r="V289" s="257">
        <f t="shared" si="137"/>
        <v>0</v>
      </c>
      <c r="W289" s="257"/>
      <c r="X289" s="257"/>
      <c r="Y289" s="257">
        <f t="shared" si="138"/>
        <v>0</v>
      </c>
      <c r="Z289" s="257"/>
      <c r="AA289" s="257"/>
      <c r="AB289" s="257">
        <f t="shared" si="139"/>
        <v>0</v>
      </c>
    </row>
    <row r="290" spans="1:189" s="254" customFormat="1" ht="63" x14ac:dyDescent="0.25">
      <c r="A290" s="259" t="s">
        <v>139</v>
      </c>
      <c r="B290" s="260">
        <f t="shared" si="287"/>
        <v>3672</v>
      </c>
      <c r="C290" s="260">
        <f t="shared" si="287"/>
        <v>3672</v>
      </c>
      <c r="D290" s="260">
        <f t="shared" si="287"/>
        <v>0</v>
      </c>
      <c r="E290" s="260"/>
      <c r="F290" s="260"/>
      <c r="G290" s="260">
        <f t="shared" si="297"/>
        <v>0</v>
      </c>
      <c r="H290" s="260"/>
      <c r="I290" s="260"/>
      <c r="J290" s="260">
        <f t="shared" si="133"/>
        <v>0</v>
      </c>
      <c r="K290" s="260"/>
      <c r="L290" s="260"/>
      <c r="M290" s="260">
        <f t="shared" si="134"/>
        <v>0</v>
      </c>
      <c r="N290" s="260">
        <f>3000+672</f>
        <v>3672</v>
      </c>
      <c r="O290" s="260">
        <f>3000+672</f>
        <v>3672</v>
      </c>
      <c r="P290" s="260">
        <f t="shared" si="135"/>
        <v>0</v>
      </c>
      <c r="Q290" s="260"/>
      <c r="R290" s="260"/>
      <c r="S290" s="260">
        <f t="shared" si="136"/>
        <v>0</v>
      </c>
      <c r="T290" s="260"/>
      <c r="U290" s="260"/>
      <c r="V290" s="260">
        <f t="shared" si="137"/>
        <v>0</v>
      </c>
      <c r="W290" s="260"/>
      <c r="X290" s="260"/>
      <c r="Y290" s="260">
        <f t="shared" si="138"/>
        <v>0</v>
      </c>
      <c r="Z290" s="260"/>
      <c r="AA290" s="260"/>
      <c r="AB290" s="260">
        <f t="shared" si="139"/>
        <v>0</v>
      </c>
    </row>
    <row r="291" spans="1:189" s="251" customFormat="1" x14ac:dyDescent="0.25">
      <c r="A291" s="252" t="s">
        <v>105</v>
      </c>
      <c r="B291" s="253">
        <f t="shared" si="287"/>
        <v>386882</v>
      </c>
      <c r="C291" s="253">
        <f t="shared" si="287"/>
        <v>386882</v>
      </c>
      <c r="D291" s="253">
        <f t="shared" si="287"/>
        <v>0</v>
      </c>
      <c r="E291" s="253">
        <f t="shared" ref="E291:AA291" si="460">SUM(E292:E292)</f>
        <v>0</v>
      </c>
      <c r="F291" s="253">
        <f t="shared" si="460"/>
        <v>0</v>
      </c>
      <c r="G291" s="253">
        <f t="shared" si="297"/>
        <v>0</v>
      </c>
      <c r="H291" s="253">
        <f t="shared" si="460"/>
        <v>0</v>
      </c>
      <c r="I291" s="253">
        <f t="shared" si="460"/>
        <v>0</v>
      </c>
      <c r="J291" s="253">
        <f t="shared" si="133"/>
        <v>0</v>
      </c>
      <c r="K291" s="253">
        <f t="shared" si="460"/>
        <v>0</v>
      </c>
      <c r="L291" s="253">
        <f t="shared" si="460"/>
        <v>0</v>
      </c>
      <c r="M291" s="253">
        <f t="shared" si="134"/>
        <v>0</v>
      </c>
      <c r="N291" s="253">
        <f t="shared" si="460"/>
        <v>386882</v>
      </c>
      <c r="O291" s="253">
        <f t="shared" si="460"/>
        <v>386882</v>
      </c>
      <c r="P291" s="253">
        <f t="shared" si="135"/>
        <v>0</v>
      </c>
      <c r="Q291" s="253">
        <f t="shared" si="460"/>
        <v>0</v>
      </c>
      <c r="R291" s="253">
        <f t="shared" si="460"/>
        <v>0</v>
      </c>
      <c r="S291" s="253">
        <f t="shared" si="136"/>
        <v>0</v>
      </c>
      <c r="T291" s="253">
        <f t="shared" si="460"/>
        <v>0</v>
      </c>
      <c r="U291" s="253">
        <f t="shared" si="460"/>
        <v>0</v>
      </c>
      <c r="V291" s="253">
        <f t="shared" si="137"/>
        <v>0</v>
      </c>
      <c r="W291" s="253">
        <f t="shared" si="460"/>
        <v>0</v>
      </c>
      <c r="X291" s="253">
        <f t="shared" si="460"/>
        <v>0</v>
      </c>
      <c r="Y291" s="253">
        <f t="shared" si="138"/>
        <v>0</v>
      </c>
      <c r="Z291" s="253">
        <f t="shared" si="460"/>
        <v>0</v>
      </c>
      <c r="AA291" s="253">
        <f t="shared" si="460"/>
        <v>0</v>
      </c>
      <c r="AB291" s="253">
        <f t="shared" si="139"/>
        <v>0</v>
      </c>
      <c r="AC291" s="254"/>
      <c r="AD291" s="254"/>
      <c r="AE291" s="254"/>
      <c r="AF291" s="254"/>
      <c r="AG291" s="254"/>
      <c r="AH291" s="254"/>
      <c r="AI291" s="254"/>
      <c r="AJ291" s="254"/>
      <c r="AK291" s="254"/>
      <c r="AL291" s="254"/>
      <c r="AM291" s="254"/>
      <c r="AN291" s="254"/>
      <c r="AO291" s="254"/>
      <c r="AP291" s="254"/>
      <c r="AQ291" s="254"/>
      <c r="AR291" s="254"/>
      <c r="AS291" s="254"/>
      <c r="AT291" s="254"/>
      <c r="AU291" s="254"/>
      <c r="AV291" s="254"/>
      <c r="AW291" s="254"/>
      <c r="AX291" s="254"/>
      <c r="AY291" s="254"/>
      <c r="AZ291" s="254"/>
      <c r="BA291" s="254"/>
      <c r="BB291" s="254"/>
      <c r="BC291" s="254"/>
      <c r="BD291" s="254"/>
      <c r="BE291" s="254"/>
      <c r="BF291" s="254"/>
      <c r="BG291" s="254"/>
      <c r="BH291" s="254"/>
      <c r="BI291" s="254"/>
      <c r="BJ291" s="254"/>
      <c r="BK291" s="254"/>
      <c r="BL291" s="254"/>
      <c r="BM291" s="254"/>
      <c r="BN291" s="254"/>
      <c r="BO291" s="254"/>
      <c r="BP291" s="254"/>
      <c r="BQ291" s="254"/>
      <c r="BR291" s="254"/>
      <c r="BS291" s="254"/>
      <c r="BT291" s="254"/>
      <c r="BU291" s="254"/>
      <c r="BV291" s="254"/>
      <c r="BW291" s="254"/>
      <c r="BX291" s="254"/>
      <c r="BY291" s="254"/>
      <c r="BZ291" s="254"/>
      <c r="CA291" s="254"/>
      <c r="CB291" s="254"/>
      <c r="CC291" s="254"/>
      <c r="CD291" s="254"/>
      <c r="CE291" s="254"/>
      <c r="CF291" s="254"/>
      <c r="CG291" s="254"/>
      <c r="CH291" s="254"/>
      <c r="CI291" s="254"/>
      <c r="CJ291" s="254"/>
      <c r="CK291" s="254"/>
      <c r="CL291" s="254"/>
      <c r="CM291" s="254"/>
      <c r="CN291" s="254"/>
      <c r="CO291" s="254"/>
      <c r="CP291" s="254"/>
      <c r="CQ291" s="254"/>
      <c r="CR291" s="254"/>
      <c r="CS291" s="254"/>
      <c r="CT291" s="254"/>
      <c r="CU291" s="254"/>
      <c r="CV291" s="254"/>
      <c r="CW291" s="254"/>
      <c r="CX291" s="254"/>
      <c r="CY291" s="254"/>
      <c r="CZ291" s="254"/>
      <c r="DA291" s="254"/>
      <c r="DB291" s="254"/>
      <c r="DC291" s="254"/>
      <c r="DD291" s="254"/>
      <c r="DE291" s="254"/>
      <c r="DF291" s="254"/>
      <c r="DG291" s="254"/>
      <c r="DH291" s="254"/>
      <c r="DI291" s="254"/>
      <c r="DJ291" s="254"/>
      <c r="DK291" s="254"/>
      <c r="DL291" s="254"/>
      <c r="DM291" s="254"/>
      <c r="DN291" s="254"/>
      <c r="DO291" s="254"/>
      <c r="DP291" s="254"/>
      <c r="DQ291" s="254"/>
      <c r="DR291" s="254"/>
      <c r="DS291" s="254"/>
      <c r="DT291" s="254"/>
      <c r="DU291" s="254"/>
      <c r="DV291" s="254"/>
      <c r="DW291" s="254"/>
      <c r="DX291" s="254"/>
      <c r="DY291" s="254"/>
      <c r="DZ291" s="254"/>
      <c r="EA291" s="254"/>
      <c r="EB291" s="254"/>
      <c r="EC291" s="254"/>
      <c r="ED291" s="254"/>
      <c r="EE291" s="254"/>
      <c r="EF291" s="254"/>
      <c r="EG291" s="254"/>
      <c r="EH291" s="254"/>
      <c r="EI291" s="254"/>
      <c r="EJ291" s="254"/>
      <c r="EK291" s="254"/>
      <c r="EL291" s="254"/>
      <c r="EM291" s="254"/>
      <c r="EN291" s="254"/>
      <c r="EO291" s="254"/>
      <c r="EP291" s="254"/>
      <c r="EQ291" s="254"/>
      <c r="ER291" s="254"/>
      <c r="ES291" s="254"/>
      <c r="ET291" s="254"/>
      <c r="EU291" s="254"/>
      <c r="EV291" s="254"/>
      <c r="EW291" s="254"/>
      <c r="EX291" s="254"/>
      <c r="EY291" s="254"/>
      <c r="EZ291" s="254"/>
      <c r="FA291" s="254"/>
      <c r="FB291" s="254"/>
      <c r="FC291" s="254"/>
      <c r="FD291" s="254"/>
      <c r="FE291" s="254"/>
      <c r="FF291" s="254"/>
      <c r="FG291" s="254"/>
      <c r="FH291" s="254"/>
      <c r="FI291" s="254"/>
      <c r="FJ291" s="254"/>
      <c r="FK291" s="254"/>
      <c r="FL291" s="254"/>
      <c r="FM291" s="254"/>
      <c r="FN291" s="254"/>
      <c r="FO291" s="254"/>
      <c r="FP291" s="254"/>
      <c r="FQ291" s="254"/>
      <c r="FR291" s="254"/>
      <c r="FS291" s="254"/>
      <c r="FT291" s="254"/>
      <c r="FU291" s="254"/>
      <c r="FV291" s="254"/>
      <c r="FW291" s="254"/>
      <c r="FX291" s="254"/>
      <c r="FY291" s="254"/>
      <c r="FZ291" s="254"/>
      <c r="GA291" s="254"/>
      <c r="GB291" s="254"/>
      <c r="GC291" s="254"/>
      <c r="GD291" s="254"/>
      <c r="GE291" s="254"/>
      <c r="GF291" s="254"/>
      <c r="GG291" s="254"/>
    </row>
    <row r="292" spans="1:189" s="254" customFormat="1" ht="78.75" x14ac:dyDescent="0.25">
      <c r="A292" s="264" t="s">
        <v>431</v>
      </c>
      <c r="B292" s="260">
        <f t="shared" si="287"/>
        <v>386882</v>
      </c>
      <c r="C292" s="260">
        <f t="shared" si="287"/>
        <v>386882</v>
      </c>
      <c r="D292" s="260">
        <f t="shared" si="287"/>
        <v>0</v>
      </c>
      <c r="E292" s="260"/>
      <c r="F292" s="260"/>
      <c r="G292" s="260">
        <f t="shared" si="297"/>
        <v>0</v>
      </c>
      <c r="H292" s="260"/>
      <c r="I292" s="260"/>
      <c r="J292" s="260">
        <f t="shared" si="133"/>
        <v>0</v>
      </c>
      <c r="K292" s="260">
        <v>0</v>
      </c>
      <c r="L292" s="260">
        <v>0</v>
      </c>
      <c r="M292" s="260">
        <f t="shared" si="134"/>
        <v>0</v>
      </c>
      <c r="N292" s="260">
        <v>386882</v>
      </c>
      <c r="O292" s="260">
        <v>386882</v>
      </c>
      <c r="P292" s="260">
        <f t="shared" si="135"/>
        <v>0</v>
      </c>
      <c r="Q292" s="260"/>
      <c r="R292" s="260"/>
      <c r="S292" s="260">
        <f t="shared" si="136"/>
        <v>0</v>
      </c>
      <c r="T292" s="260"/>
      <c r="U292" s="260"/>
      <c r="V292" s="260">
        <f t="shared" si="137"/>
        <v>0</v>
      </c>
      <c r="W292" s="260"/>
      <c r="X292" s="260"/>
      <c r="Y292" s="260">
        <f t="shared" si="138"/>
        <v>0</v>
      </c>
      <c r="Z292" s="260"/>
      <c r="AA292" s="260"/>
      <c r="AB292" s="260">
        <f t="shared" si="139"/>
        <v>0</v>
      </c>
      <c r="FN292" s="251"/>
      <c r="FO292" s="251"/>
      <c r="FP292" s="251"/>
      <c r="FQ292" s="251"/>
      <c r="FR292" s="251"/>
      <c r="FS292" s="251"/>
      <c r="FT292" s="251"/>
      <c r="FU292" s="251"/>
      <c r="FV292" s="251"/>
      <c r="FW292" s="251"/>
      <c r="FX292" s="251"/>
      <c r="FY292" s="251"/>
      <c r="FZ292" s="251"/>
      <c r="GA292" s="251"/>
      <c r="GB292" s="251"/>
      <c r="GC292" s="251"/>
      <c r="GD292" s="251"/>
      <c r="GE292" s="251"/>
      <c r="GF292" s="251"/>
      <c r="GG292" s="251"/>
    </row>
    <row r="293" spans="1:189" s="254" customFormat="1" ht="31.5" x14ac:dyDescent="0.25">
      <c r="A293" s="252" t="s">
        <v>107</v>
      </c>
      <c r="B293" s="253">
        <f t="shared" si="287"/>
        <v>26490</v>
      </c>
      <c r="C293" s="253">
        <f t="shared" si="287"/>
        <v>26490</v>
      </c>
      <c r="D293" s="253">
        <f t="shared" si="287"/>
        <v>0</v>
      </c>
      <c r="E293" s="253">
        <f>SUM(E294:E299)</f>
        <v>0</v>
      </c>
      <c r="F293" s="253">
        <f>SUM(F294:F299)</f>
        <v>0</v>
      </c>
      <c r="G293" s="253">
        <f t="shared" si="297"/>
        <v>0</v>
      </c>
      <c r="H293" s="253">
        <f t="shared" ref="H293" si="461">SUM(H294:H299)</f>
        <v>0</v>
      </c>
      <c r="I293" s="253">
        <f t="shared" ref="I293" si="462">SUM(I294:I299)</f>
        <v>0</v>
      </c>
      <c r="J293" s="253">
        <f t="shared" si="133"/>
        <v>0</v>
      </c>
      <c r="K293" s="253">
        <f t="shared" ref="K293" si="463">SUM(K294:K299)</f>
        <v>1461</v>
      </c>
      <c r="L293" s="253">
        <f t="shared" ref="L293" si="464">SUM(L294:L299)</f>
        <v>1461</v>
      </c>
      <c r="M293" s="253">
        <f t="shared" si="134"/>
        <v>0</v>
      </c>
      <c r="N293" s="253">
        <f t="shared" ref="N293" si="465">SUM(N294:N299)</f>
        <v>5348</v>
      </c>
      <c r="O293" s="253">
        <f t="shared" ref="O293" si="466">SUM(O294:O299)</f>
        <v>5348</v>
      </c>
      <c r="P293" s="253">
        <f t="shared" si="135"/>
        <v>0</v>
      </c>
      <c r="Q293" s="253">
        <f t="shared" ref="Q293" si="467">SUM(Q294:Q299)</f>
        <v>19681</v>
      </c>
      <c r="R293" s="253">
        <f t="shared" ref="R293" si="468">SUM(R294:R299)</f>
        <v>19681</v>
      </c>
      <c r="S293" s="253">
        <f t="shared" si="136"/>
        <v>0</v>
      </c>
      <c r="T293" s="253">
        <f t="shared" ref="T293" si="469">SUM(T294:T299)</f>
        <v>0</v>
      </c>
      <c r="U293" s="253">
        <f t="shared" ref="U293" si="470">SUM(U294:U299)</f>
        <v>0</v>
      </c>
      <c r="V293" s="253">
        <f t="shared" si="137"/>
        <v>0</v>
      </c>
      <c r="W293" s="253">
        <f t="shared" ref="W293:X293" si="471">SUM(W294:W299)</f>
        <v>0</v>
      </c>
      <c r="X293" s="253">
        <f t="shared" si="471"/>
        <v>0</v>
      </c>
      <c r="Y293" s="253">
        <f t="shared" si="138"/>
        <v>0</v>
      </c>
      <c r="Z293" s="253">
        <f t="shared" ref="Z293" si="472">SUM(Z294:Z299)</f>
        <v>0</v>
      </c>
      <c r="AA293" s="253">
        <f t="shared" ref="AA293" si="473">SUM(AA294:AA299)</f>
        <v>0</v>
      </c>
      <c r="AB293" s="253">
        <f t="shared" si="139"/>
        <v>0</v>
      </c>
    </row>
    <row r="294" spans="1:189" s="254" customFormat="1" ht="78.75" x14ac:dyDescent="0.25">
      <c r="A294" s="261" t="s">
        <v>140</v>
      </c>
      <c r="B294" s="257">
        <f t="shared" si="287"/>
        <v>1600</v>
      </c>
      <c r="C294" s="257">
        <f t="shared" si="287"/>
        <v>1600</v>
      </c>
      <c r="D294" s="257">
        <f t="shared" si="287"/>
        <v>0</v>
      </c>
      <c r="E294" s="257"/>
      <c r="F294" s="257"/>
      <c r="G294" s="257">
        <f t="shared" si="297"/>
        <v>0</v>
      </c>
      <c r="H294" s="257"/>
      <c r="I294" s="257"/>
      <c r="J294" s="257">
        <f t="shared" si="133"/>
        <v>0</v>
      </c>
      <c r="K294" s="257"/>
      <c r="L294" s="257"/>
      <c r="M294" s="257">
        <f t="shared" si="134"/>
        <v>0</v>
      </c>
      <c r="N294" s="257">
        <v>1600</v>
      </c>
      <c r="O294" s="257">
        <v>1600</v>
      </c>
      <c r="P294" s="257">
        <f t="shared" si="135"/>
        <v>0</v>
      </c>
      <c r="Q294" s="257"/>
      <c r="R294" s="257"/>
      <c r="S294" s="257">
        <f t="shared" si="136"/>
        <v>0</v>
      </c>
      <c r="T294" s="257"/>
      <c r="U294" s="257"/>
      <c r="V294" s="257">
        <f t="shared" si="137"/>
        <v>0</v>
      </c>
      <c r="W294" s="257"/>
      <c r="X294" s="257"/>
      <c r="Y294" s="257">
        <f t="shared" si="138"/>
        <v>0</v>
      </c>
      <c r="Z294" s="257"/>
      <c r="AA294" s="257"/>
      <c r="AB294" s="257">
        <f t="shared" si="139"/>
        <v>0</v>
      </c>
    </row>
    <row r="295" spans="1:189" s="251" customFormat="1" ht="63" x14ac:dyDescent="0.25">
      <c r="A295" s="261" t="s">
        <v>141</v>
      </c>
      <c r="B295" s="263">
        <f t="shared" si="287"/>
        <v>3748</v>
      </c>
      <c r="C295" s="263">
        <f t="shared" si="287"/>
        <v>3748</v>
      </c>
      <c r="D295" s="263">
        <f t="shared" si="287"/>
        <v>0</v>
      </c>
      <c r="E295" s="263"/>
      <c r="F295" s="263"/>
      <c r="G295" s="263">
        <f t="shared" si="297"/>
        <v>0</v>
      </c>
      <c r="H295" s="263"/>
      <c r="I295" s="263"/>
      <c r="J295" s="263">
        <f t="shared" si="133"/>
        <v>0</v>
      </c>
      <c r="K295" s="263"/>
      <c r="L295" s="263"/>
      <c r="M295" s="263">
        <f t="shared" si="134"/>
        <v>0</v>
      </c>
      <c r="N295" s="263">
        <v>3748</v>
      </c>
      <c r="O295" s="263">
        <v>3748</v>
      </c>
      <c r="P295" s="263">
        <f t="shared" si="135"/>
        <v>0</v>
      </c>
      <c r="Q295" s="263"/>
      <c r="R295" s="263"/>
      <c r="S295" s="263">
        <f t="shared" si="136"/>
        <v>0</v>
      </c>
      <c r="T295" s="263"/>
      <c r="U295" s="263"/>
      <c r="V295" s="263">
        <f t="shared" si="137"/>
        <v>0</v>
      </c>
      <c r="W295" s="263"/>
      <c r="X295" s="263"/>
      <c r="Y295" s="263">
        <f t="shared" si="138"/>
        <v>0</v>
      </c>
      <c r="Z295" s="263"/>
      <c r="AA295" s="263"/>
      <c r="AB295" s="263">
        <f t="shared" si="139"/>
        <v>0</v>
      </c>
      <c r="AC295" s="254"/>
      <c r="AD295" s="254"/>
      <c r="AE295" s="254"/>
      <c r="AF295" s="254"/>
      <c r="AG295" s="254"/>
      <c r="AH295" s="254"/>
      <c r="AI295" s="254"/>
      <c r="AJ295" s="254"/>
      <c r="AK295" s="254"/>
      <c r="AL295" s="254"/>
      <c r="AM295" s="254"/>
      <c r="AN295" s="254"/>
      <c r="AO295" s="254"/>
      <c r="AP295" s="254"/>
      <c r="AQ295" s="254"/>
      <c r="AR295" s="254"/>
      <c r="AS295" s="254"/>
      <c r="AT295" s="254"/>
      <c r="AU295" s="254"/>
      <c r="AV295" s="254"/>
      <c r="AW295" s="254"/>
      <c r="AX295" s="254"/>
      <c r="AY295" s="254"/>
      <c r="AZ295" s="254"/>
      <c r="BA295" s="254"/>
      <c r="BB295" s="254"/>
      <c r="BC295" s="254"/>
      <c r="BD295" s="254"/>
      <c r="BE295" s="254"/>
      <c r="BF295" s="254"/>
      <c r="BG295" s="254"/>
      <c r="BH295" s="254"/>
      <c r="BI295" s="254"/>
      <c r="BJ295" s="254"/>
      <c r="BK295" s="254"/>
      <c r="BL295" s="254"/>
      <c r="BM295" s="254"/>
      <c r="BN295" s="254"/>
      <c r="BO295" s="254"/>
      <c r="BP295" s="254"/>
      <c r="BQ295" s="254"/>
      <c r="BR295" s="254"/>
      <c r="BS295" s="254"/>
      <c r="BT295" s="254"/>
      <c r="BU295" s="254"/>
      <c r="BV295" s="254"/>
      <c r="BW295" s="254"/>
      <c r="BX295" s="254"/>
      <c r="BY295" s="254"/>
      <c r="BZ295" s="254"/>
      <c r="CA295" s="254"/>
      <c r="CB295" s="254"/>
      <c r="CC295" s="254"/>
      <c r="CD295" s="254"/>
      <c r="CE295" s="254"/>
      <c r="CF295" s="254"/>
      <c r="CG295" s="254"/>
      <c r="CH295" s="254"/>
      <c r="CI295" s="254"/>
      <c r="CJ295" s="254"/>
      <c r="CK295" s="254"/>
      <c r="CL295" s="254"/>
      <c r="CM295" s="254"/>
      <c r="CN295" s="254"/>
      <c r="CO295" s="254"/>
      <c r="CP295" s="254"/>
      <c r="CQ295" s="254"/>
      <c r="CR295" s="254"/>
      <c r="CS295" s="254"/>
      <c r="CT295" s="254"/>
      <c r="CU295" s="254"/>
      <c r="CV295" s="254"/>
      <c r="CW295" s="254"/>
      <c r="CX295" s="254"/>
      <c r="CY295" s="254"/>
      <c r="CZ295" s="254"/>
      <c r="DA295" s="254"/>
      <c r="DB295" s="254"/>
      <c r="DC295" s="254"/>
      <c r="DD295" s="254"/>
      <c r="DE295" s="254"/>
      <c r="DF295" s="254"/>
      <c r="DG295" s="254"/>
      <c r="DH295" s="254"/>
      <c r="DI295" s="254"/>
      <c r="DJ295" s="254"/>
      <c r="DK295" s="254"/>
      <c r="DL295" s="254"/>
      <c r="DM295" s="254"/>
      <c r="DN295" s="254"/>
      <c r="DO295" s="254"/>
      <c r="DP295" s="254"/>
      <c r="DQ295" s="254"/>
      <c r="DR295" s="254"/>
      <c r="DS295" s="254"/>
      <c r="DT295" s="254"/>
      <c r="DU295" s="254"/>
      <c r="DV295" s="254"/>
      <c r="DW295" s="254"/>
      <c r="DX295" s="254"/>
      <c r="DY295" s="254"/>
      <c r="DZ295" s="254"/>
      <c r="EA295" s="254"/>
      <c r="EB295" s="254"/>
      <c r="EC295" s="254"/>
      <c r="ED295" s="254"/>
      <c r="EE295" s="254"/>
      <c r="EF295" s="254"/>
      <c r="EG295" s="254"/>
      <c r="EH295" s="254"/>
      <c r="EI295" s="254"/>
      <c r="EJ295" s="254"/>
      <c r="EK295" s="254"/>
      <c r="EL295" s="254"/>
      <c r="EM295" s="254"/>
      <c r="EN295" s="254"/>
      <c r="EO295" s="254"/>
      <c r="EP295" s="254"/>
      <c r="EQ295" s="254"/>
      <c r="ER295" s="254"/>
      <c r="ES295" s="254"/>
      <c r="ET295" s="254"/>
      <c r="EU295" s="254"/>
      <c r="EV295" s="254"/>
      <c r="EW295" s="254"/>
      <c r="EX295" s="254"/>
      <c r="EY295" s="254"/>
      <c r="EZ295" s="254"/>
      <c r="FA295" s="254"/>
      <c r="FB295" s="254"/>
      <c r="FC295" s="254"/>
      <c r="FD295" s="254"/>
      <c r="FE295" s="254"/>
      <c r="FF295" s="254"/>
      <c r="FG295" s="254"/>
      <c r="FH295" s="254"/>
      <c r="FI295" s="254"/>
      <c r="FJ295" s="254"/>
      <c r="FK295" s="254"/>
      <c r="FL295" s="254"/>
      <c r="FM295" s="254"/>
      <c r="FN295" s="254"/>
      <c r="FO295" s="254"/>
      <c r="FP295" s="254"/>
      <c r="FQ295" s="254"/>
      <c r="FR295" s="254"/>
      <c r="FS295" s="254"/>
      <c r="FT295" s="254"/>
      <c r="FU295" s="254"/>
      <c r="FV295" s="254"/>
      <c r="FW295" s="254"/>
      <c r="FX295" s="254"/>
      <c r="FY295" s="254"/>
      <c r="FZ295" s="254"/>
      <c r="GA295" s="254"/>
      <c r="GB295" s="254"/>
      <c r="GC295" s="254"/>
      <c r="GD295" s="254"/>
      <c r="GE295" s="254"/>
      <c r="GF295" s="254"/>
      <c r="GG295" s="254"/>
    </row>
    <row r="296" spans="1:189" s="254" customFormat="1" ht="47.25" x14ac:dyDescent="0.25">
      <c r="A296" s="259" t="s">
        <v>469</v>
      </c>
      <c r="B296" s="260">
        <f t="shared" si="287"/>
        <v>6414</v>
      </c>
      <c r="C296" s="260">
        <f t="shared" si="287"/>
        <v>6414</v>
      </c>
      <c r="D296" s="260">
        <f t="shared" si="287"/>
        <v>0</v>
      </c>
      <c r="E296" s="260"/>
      <c r="F296" s="260"/>
      <c r="G296" s="260">
        <f t="shared" si="297"/>
        <v>0</v>
      </c>
      <c r="H296" s="260"/>
      <c r="I296" s="260"/>
      <c r="J296" s="260">
        <f t="shared" si="133"/>
        <v>0</v>
      </c>
      <c r="K296" s="260"/>
      <c r="L296" s="260"/>
      <c r="M296" s="260">
        <f t="shared" si="134"/>
        <v>0</v>
      </c>
      <c r="N296" s="260"/>
      <c r="O296" s="260"/>
      <c r="P296" s="260">
        <f t="shared" si="135"/>
        <v>0</v>
      </c>
      <c r="Q296" s="260">
        <v>6414</v>
      </c>
      <c r="R296" s="260">
        <v>6414</v>
      </c>
      <c r="S296" s="260">
        <f t="shared" si="136"/>
        <v>0</v>
      </c>
      <c r="T296" s="260"/>
      <c r="U296" s="260"/>
      <c r="V296" s="260">
        <f t="shared" si="137"/>
        <v>0</v>
      </c>
      <c r="W296" s="260"/>
      <c r="X296" s="260"/>
      <c r="Y296" s="260">
        <f t="shared" si="138"/>
        <v>0</v>
      </c>
      <c r="Z296" s="260"/>
      <c r="AA296" s="260"/>
      <c r="AB296" s="260">
        <f t="shared" si="139"/>
        <v>0</v>
      </c>
    </row>
    <row r="297" spans="1:189" s="254" customFormat="1" ht="31.5" x14ac:dyDescent="0.25">
      <c r="A297" s="259" t="s">
        <v>470</v>
      </c>
      <c r="B297" s="260">
        <f t="shared" si="287"/>
        <v>1461</v>
      </c>
      <c r="C297" s="260">
        <f t="shared" si="287"/>
        <v>1461</v>
      </c>
      <c r="D297" s="260">
        <f t="shared" si="287"/>
        <v>0</v>
      </c>
      <c r="E297" s="260"/>
      <c r="F297" s="260"/>
      <c r="G297" s="260">
        <f t="shared" si="297"/>
        <v>0</v>
      </c>
      <c r="H297" s="260"/>
      <c r="I297" s="260"/>
      <c r="J297" s="260">
        <f t="shared" si="133"/>
        <v>0</v>
      </c>
      <c r="K297" s="260"/>
      <c r="L297" s="260"/>
      <c r="M297" s="260">
        <f t="shared" si="134"/>
        <v>0</v>
      </c>
      <c r="N297" s="260"/>
      <c r="O297" s="260"/>
      <c r="P297" s="260">
        <f t="shared" si="135"/>
        <v>0</v>
      </c>
      <c r="Q297" s="260">
        <v>1461</v>
      </c>
      <c r="R297" s="260">
        <v>1461</v>
      </c>
      <c r="S297" s="260">
        <f t="shared" si="136"/>
        <v>0</v>
      </c>
      <c r="T297" s="260"/>
      <c r="U297" s="260"/>
      <c r="V297" s="260">
        <f t="shared" si="137"/>
        <v>0</v>
      </c>
      <c r="W297" s="260"/>
      <c r="X297" s="260"/>
      <c r="Y297" s="260">
        <f t="shared" si="138"/>
        <v>0</v>
      </c>
      <c r="Z297" s="260"/>
      <c r="AA297" s="260"/>
      <c r="AB297" s="260">
        <f t="shared" si="139"/>
        <v>0</v>
      </c>
    </row>
    <row r="298" spans="1:189" s="254" customFormat="1" ht="31.5" x14ac:dyDescent="0.25">
      <c r="A298" s="259" t="s">
        <v>471</v>
      </c>
      <c r="B298" s="260">
        <f t="shared" si="287"/>
        <v>1461</v>
      </c>
      <c r="C298" s="260">
        <f t="shared" si="287"/>
        <v>1461</v>
      </c>
      <c r="D298" s="260">
        <f t="shared" si="287"/>
        <v>0</v>
      </c>
      <c r="E298" s="260"/>
      <c r="F298" s="260"/>
      <c r="G298" s="260">
        <f t="shared" si="297"/>
        <v>0</v>
      </c>
      <c r="H298" s="260"/>
      <c r="I298" s="260"/>
      <c r="J298" s="260">
        <f t="shared" si="133"/>
        <v>0</v>
      </c>
      <c r="K298" s="260">
        <v>1461</v>
      </c>
      <c r="L298" s="260">
        <v>1461</v>
      </c>
      <c r="M298" s="260">
        <f t="shared" si="134"/>
        <v>0</v>
      </c>
      <c r="N298" s="260"/>
      <c r="O298" s="260"/>
      <c r="P298" s="260">
        <f t="shared" si="135"/>
        <v>0</v>
      </c>
      <c r="Q298" s="260"/>
      <c r="R298" s="260"/>
      <c r="S298" s="260">
        <f t="shared" si="136"/>
        <v>0</v>
      </c>
      <c r="T298" s="260"/>
      <c r="U298" s="260"/>
      <c r="V298" s="260">
        <f t="shared" si="137"/>
        <v>0</v>
      </c>
      <c r="W298" s="260"/>
      <c r="X298" s="260"/>
      <c r="Y298" s="260">
        <f t="shared" si="138"/>
        <v>0</v>
      </c>
      <c r="Z298" s="260"/>
      <c r="AA298" s="260"/>
      <c r="AB298" s="260">
        <f t="shared" si="139"/>
        <v>0</v>
      </c>
    </row>
    <row r="299" spans="1:189" s="254" customFormat="1" x14ac:dyDescent="0.25">
      <c r="A299" s="259" t="s">
        <v>142</v>
      </c>
      <c r="B299" s="260">
        <f t="shared" si="287"/>
        <v>11806</v>
      </c>
      <c r="C299" s="260">
        <f t="shared" si="287"/>
        <v>11806</v>
      </c>
      <c r="D299" s="260">
        <f t="shared" si="287"/>
        <v>0</v>
      </c>
      <c r="E299" s="260"/>
      <c r="F299" s="260"/>
      <c r="G299" s="260">
        <f t="shared" si="297"/>
        <v>0</v>
      </c>
      <c r="H299" s="260"/>
      <c r="I299" s="260"/>
      <c r="J299" s="260">
        <f t="shared" si="133"/>
        <v>0</v>
      </c>
      <c r="K299" s="260"/>
      <c r="L299" s="260"/>
      <c r="M299" s="260">
        <f t="shared" si="134"/>
        <v>0</v>
      </c>
      <c r="N299" s="260"/>
      <c r="O299" s="260"/>
      <c r="P299" s="260">
        <f t="shared" si="135"/>
        <v>0</v>
      </c>
      <c r="Q299" s="260">
        <v>11806</v>
      </c>
      <c r="R299" s="260">
        <v>11806</v>
      </c>
      <c r="S299" s="260">
        <f t="shared" si="136"/>
        <v>0</v>
      </c>
      <c r="T299" s="260"/>
      <c r="U299" s="260"/>
      <c r="V299" s="260">
        <f t="shared" si="137"/>
        <v>0</v>
      </c>
      <c r="W299" s="260"/>
      <c r="X299" s="260"/>
      <c r="Y299" s="260">
        <f t="shared" si="138"/>
        <v>0</v>
      </c>
      <c r="Z299" s="260"/>
      <c r="AA299" s="260"/>
      <c r="AB299" s="260">
        <f t="shared" si="139"/>
        <v>0</v>
      </c>
    </row>
    <row r="300" spans="1:189" s="254" customFormat="1" x14ac:dyDescent="0.25">
      <c r="A300" s="252" t="s">
        <v>110</v>
      </c>
      <c r="B300" s="253">
        <f t="shared" si="287"/>
        <v>211283</v>
      </c>
      <c r="C300" s="253">
        <f t="shared" si="287"/>
        <v>211283</v>
      </c>
      <c r="D300" s="253">
        <f t="shared" si="287"/>
        <v>0</v>
      </c>
      <c r="E300" s="253">
        <f t="shared" ref="E300" si="474">SUM(E301:E304)</f>
        <v>0</v>
      </c>
      <c r="F300" s="253">
        <f t="shared" ref="F300:AA300" si="475">SUM(F301:F304)</f>
        <v>0</v>
      </c>
      <c r="G300" s="253">
        <f t="shared" si="297"/>
        <v>0</v>
      </c>
      <c r="H300" s="253">
        <f t="shared" ref="H300" si="476">SUM(H301:H304)</f>
        <v>0</v>
      </c>
      <c r="I300" s="253">
        <f t="shared" si="475"/>
        <v>0</v>
      </c>
      <c r="J300" s="253">
        <f t="shared" si="133"/>
        <v>0</v>
      </c>
      <c r="K300" s="253">
        <f t="shared" ref="K300" si="477">SUM(K301:K304)</f>
        <v>29295</v>
      </c>
      <c r="L300" s="253">
        <f t="shared" si="475"/>
        <v>29295</v>
      </c>
      <c r="M300" s="253">
        <f t="shared" si="134"/>
        <v>0</v>
      </c>
      <c r="N300" s="253">
        <f t="shared" ref="N300" si="478">SUM(N301:N304)</f>
        <v>181988</v>
      </c>
      <c r="O300" s="253">
        <f t="shared" si="475"/>
        <v>181988</v>
      </c>
      <c r="P300" s="253">
        <f t="shared" si="135"/>
        <v>0</v>
      </c>
      <c r="Q300" s="253">
        <f t="shared" ref="Q300" si="479">SUM(Q301:Q304)</f>
        <v>0</v>
      </c>
      <c r="R300" s="253">
        <f t="shared" si="475"/>
        <v>0</v>
      </c>
      <c r="S300" s="253">
        <f t="shared" si="136"/>
        <v>0</v>
      </c>
      <c r="T300" s="253">
        <f t="shared" ref="T300" si="480">SUM(T301:T304)</f>
        <v>0</v>
      </c>
      <c r="U300" s="253">
        <f t="shared" si="475"/>
        <v>0</v>
      </c>
      <c r="V300" s="253">
        <f t="shared" si="137"/>
        <v>0</v>
      </c>
      <c r="W300" s="253">
        <f t="shared" ref="W300" si="481">SUM(W301:W304)</f>
        <v>0</v>
      </c>
      <c r="X300" s="253">
        <f t="shared" si="475"/>
        <v>0</v>
      </c>
      <c r="Y300" s="253">
        <f t="shared" si="138"/>
        <v>0</v>
      </c>
      <c r="Z300" s="253">
        <f t="shared" ref="Z300" si="482">SUM(Z301:Z304)</f>
        <v>0</v>
      </c>
      <c r="AA300" s="253">
        <f t="shared" si="475"/>
        <v>0</v>
      </c>
      <c r="AB300" s="253">
        <f t="shared" si="139"/>
        <v>0</v>
      </c>
    </row>
    <row r="301" spans="1:189" s="251" customFormat="1" ht="94.5" x14ac:dyDescent="0.25">
      <c r="A301" s="261" t="s">
        <v>143</v>
      </c>
      <c r="B301" s="263">
        <f t="shared" si="287"/>
        <v>75000</v>
      </c>
      <c r="C301" s="263">
        <f t="shared" si="287"/>
        <v>75000</v>
      </c>
      <c r="D301" s="263">
        <f t="shared" si="287"/>
        <v>0</v>
      </c>
      <c r="E301" s="263"/>
      <c r="F301" s="263"/>
      <c r="G301" s="263">
        <f t="shared" si="297"/>
        <v>0</v>
      </c>
      <c r="H301" s="263"/>
      <c r="I301" s="263"/>
      <c r="J301" s="263">
        <f t="shared" si="133"/>
        <v>0</v>
      </c>
      <c r="K301" s="263"/>
      <c r="L301" s="263"/>
      <c r="M301" s="263">
        <f t="shared" si="134"/>
        <v>0</v>
      </c>
      <c r="N301" s="263">
        <v>75000</v>
      </c>
      <c r="O301" s="263">
        <v>75000</v>
      </c>
      <c r="P301" s="263">
        <f t="shared" si="135"/>
        <v>0</v>
      </c>
      <c r="Q301" s="263"/>
      <c r="R301" s="263"/>
      <c r="S301" s="263">
        <f t="shared" si="136"/>
        <v>0</v>
      </c>
      <c r="T301" s="263"/>
      <c r="U301" s="263"/>
      <c r="V301" s="263">
        <f t="shared" si="137"/>
        <v>0</v>
      </c>
      <c r="W301" s="263"/>
      <c r="X301" s="263"/>
      <c r="Y301" s="263">
        <f t="shared" si="138"/>
        <v>0</v>
      </c>
      <c r="Z301" s="263"/>
      <c r="AA301" s="263"/>
      <c r="AB301" s="263">
        <f t="shared" si="139"/>
        <v>0</v>
      </c>
      <c r="AC301" s="254"/>
      <c r="AD301" s="254"/>
      <c r="AE301" s="254"/>
      <c r="AF301" s="254"/>
      <c r="AG301" s="254"/>
      <c r="AH301" s="254"/>
      <c r="AI301" s="254"/>
      <c r="AJ301" s="254"/>
      <c r="AK301" s="254"/>
      <c r="AL301" s="254"/>
      <c r="AM301" s="254"/>
      <c r="AN301" s="254"/>
      <c r="AO301" s="254"/>
      <c r="AP301" s="254"/>
      <c r="AQ301" s="254"/>
      <c r="AR301" s="254"/>
      <c r="AS301" s="254"/>
      <c r="AT301" s="254"/>
      <c r="AU301" s="254"/>
      <c r="AV301" s="254"/>
      <c r="AW301" s="254"/>
      <c r="AX301" s="254"/>
      <c r="AY301" s="254"/>
      <c r="AZ301" s="254"/>
      <c r="BA301" s="254"/>
      <c r="BB301" s="254"/>
      <c r="BC301" s="254"/>
      <c r="BD301" s="254"/>
      <c r="BE301" s="254"/>
      <c r="BF301" s="254"/>
      <c r="BG301" s="254"/>
      <c r="BH301" s="254"/>
      <c r="BI301" s="254"/>
      <c r="BJ301" s="254"/>
      <c r="BK301" s="254"/>
      <c r="BL301" s="254"/>
      <c r="BM301" s="254"/>
      <c r="BN301" s="254"/>
      <c r="BO301" s="254"/>
      <c r="BP301" s="254"/>
      <c r="BQ301" s="254"/>
      <c r="BR301" s="254"/>
      <c r="BS301" s="254"/>
      <c r="BT301" s="254"/>
      <c r="BU301" s="254"/>
      <c r="BV301" s="254"/>
      <c r="BW301" s="254"/>
      <c r="BX301" s="254"/>
      <c r="BY301" s="254"/>
      <c r="BZ301" s="254"/>
      <c r="CA301" s="254"/>
      <c r="CB301" s="254"/>
      <c r="CC301" s="254"/>
      <c r="CD301" s="254"/>
      <c r="CE301" s="254"/>
      <c r="CF301" s="254"/>
      <c r="CG301" s="254"/>
      <c r="CH301" s="254"/>
      <c r="CI301" s="254"/>
      <c r="CJ301" s="254"/>
      <c r="CK301" s="254"/>
      <c r="CL301" s="254"/>
      <c r="CM301" s="254"/>
      <c r="CN301" s="254"/>
      <c r="CO301" s="254"/>
      <c r="CP301" s="254"/>
      <c r="CQ301" s="254"/>
      <c r="CR301" s="254"/>
      <c r="CS301" s="254"/>
      <c r="CT301" s="254"/>
      <c r="CU301" s="254"/>
      <c r="CV301" s="254"/>
      <c r="CW301" s="254"/>
      <c r="CX301" s="254"/>
      <c r="CY301" s="254"/>
      <c r="CZ301" s="254"/>
      <c r="DA301" s="254"/>
      <c r="DB301" s="254"/>
      <c r="DC301" s="254"/>
      <c r="DD301" s="254"/>
      <c r="DE301" s="254"/>
      <c r="DF301" s="254"/>
      <c r="DG301" s="254"/>
      <c r="DH301" s="254"/>
      <c r="DI301" s="254"/>
      <c r="DJ301" s="254"/>
      <c r="DK301" s="254"/>
      <c r="DL301" s="254"/>
      <c r="DM301" s="254"/>
      <c r="DN301" s="254"/>
      <c r="DO301" s="254"/>
      <c r="DP301" s="254"/>
      <c r="DQ301" s="254"/>
      <c r="DR301" s="254"/>
      <c r="DS301" s="254"/>
      <c r="DT301" s="254"/>
      <c r="DU301" s="254"/>
      <c r="DV301" s="254"/>
      <c r="DW301" s="254"/>
      <c r="DX301" s="254"/>
      <c r="DY301" s="254"/>
      <c r="DZ301" s="254"/>
      <c r="EA301" s="254"/>
      <c r="EB301" s="254"/>
      <c r="EC301" s="254"/>
      <c r="ED301" s="254"/>
      <c r="EE301" s="254"/>
      <c r="EF301" s="254"/>
      <c r="EG301" s="254"/>
      <c r="EH301" s="254"/>
      <c r="EI301" s="254"/>
      <c r="EJ301" s="254"/>
      <c r="EK301" s="254"/>
      <c r="EL301" s="254"/>
      <c r="EM301" s="254"/>
      <c r="EN301" s="254"/>
      <c r="EO301" s="254"/>
      <c r="EP301" s="254"/>
      <c r="EQ301" s="254"/>
      <c r="ER301" s="254"/>
      <c r="ES301" s="254"/>
      <c r="ET301" s="254"/>
      <c r="EU301" s="254"/>
      <c r="EV301" s="254"/>
      <c r="EW301" s="254"/>
      <c r="EX301" s="254"/>
      <c r="EY301" s="254"/>
      <c r="EZ301" s="254"/>
      <c r="FA301" s="254"/>
      <c r="FB301" s="254"/>
      <c r="FC301" s="254"/>
      <c r="FD301" s="254"/>
      <c r="FE301" s="254"/>
      <c r="FF301" s="254"/>
      <c r="FG301" s="254"/>
      <c r="FH301" s="254"/>
      <c r="FI301" s="254"/>
      <c r="FJ301" s="254"/>
      <c r="FK301" s="254"/>
      <c r="FL301" s="254"/>
      <c r="FM301" s="254"/>
      <c r="FN301" s="254"/>
      <c r="FO301" s="254"/>
      <c r="FP301" s="254"/>
      <c r="FQ301" s="254"/>
      <c r="FR301" s="254"/>
      <c r="FS301" s="254"/>
      <c r="FT301" s="254"/>
      <c r="FU301" s="254"/>
      <c r="FV301" s="254"/>
      <c r="FW301" s="254"/>
      <c r="FX301" s="254"/>
      <c r="FY301" s="254"/>
      <c r="FZ301" s="254"/>
      <c r="GA301" s="254"/>
      <c r="GB301" s="254"/>
      <c r="GC301" s="254"/>
      <c r="GD301" s="254"/>
      <c r="GE301" s="254"/>
      <c r="GF301" s="254"/>
      <c r="GG301" s="254"/>
    </row>
    <row r="302" spans="1:189" s="254" customFormat="1" ht="31.5" x14ac:dyDescent="0.25">
      <c r="A302" s="261" t="s">
        <v>472</v>
      </c>
      <c r="B302" s="257">
        <f t="shared" si="287"/>
        <v>29295</v>
      </c>
      <c r="C302" s="257">
        <f t="shared" si="287"/>
        <v>29295</v>
      </c>
      <c r="D302" s="257">
        <f t="shared" si="287"/>
        <v>0</v>
      </c>
      <c r="E302" s="257"/>
      <c r="F302" s="257"/>
      <c r="G302" s="257">
        <f t="shared" si="297"/>
        <v>0</v>
      </c>
      <c r="H302" s="257"/>
      <c r="I302" s="257"/>
      <c r="J302" s="257">
        <f t="shared" si="133"/>
        <v>0</v>
      </c>
      <c r="K302" s="257">
        <v>29295</v>
      </c>
      <c r="L302" s="257">
        <v>29295</v>
      </c>
      <c r="M302" s="257">
        <f t="shared" si="134"/>
        <v>0</v>
      </c>
      <c r="N302" s="257"/>
      <c r="O302" s="257"/>
      <c r="P302" s="257">
        <f t="shared" si="135"/>
        <v>0</v>
      </c>
      <c r="Q302" s="257"/>
      <c r="R302" s="257"/>
      <c r="S302" s="257">
        <f t="shared" si="136"/>
        <v>0</v>
      </c>
      <c r="T302" s="257"/>
      <c r="U302" s="257"/>
      <c r="V302" s="257">
        <f t="shared" si="137"/>
        <v>0</v>
      </c>
      <c r="W302" s="257"/>
      <c r="X302" s="257"/>
      <c r="Y302" s="257">
        <f t="shared" si="138"/>
        <v>0</v>
      </c>
      <c r="Z302" s="257"/>
      <c r="AA302" s="257"/>
      <c r="AB302" s="257">
        <f t="shared" si="139"/>
        <v>0</v>
      </c>
    </row>
    <row r="303" spans="1:189" s="254" customFormat="1" ht="78.75" x14ac:dyDescent="0.25">
      <c r="A303" s="261" t="s">
        <v>144</v>
      </c>
      <c r="B303" s="257">
        <f t="shared" si="287"/>
        <v>29988</v>
      </c>
      <c r="C303" s="257">
        <f t="shared" si="287"/>
        <v>29988</v>
      </c>
      <c r="D303" s="257">
        <f t="shared" si="287"/>
        <v>0</v>
      </c>
      <c r="E303" s="257"/>
      <c r="F303" s="257"/>
      <c r="G303" s="257">
        <f t="shared" si="297"/>
        <v>0</v>
      </c>
      <c r="H303" s="257"/>
      <c r="I303" s="257"/>
      <c r="J303" s="257">
        <f t="shared" si="133"/>
        <v>0</v>
      </c>
      <c r="K303" s="257"/>
      <c r="L303" s="257"/>
      <c r="M303" s="257">
        <f t="shared" si="134"/>
        <v>0</v>
      </c>
      <c r="N303" s="257">
        <f>29970+18</f>
        <v>29988</v>
      </c>
      <c r="O303" s="257">
        <f>29970+18</f>
        <v>29988</v>
      </c>
      <c r="P303" s="257">
        <f t="shared" si="135"/>
        <v>0</v>
      </c>
      <c r="Q303" s="257"/>
      <c r="R303" s="257"/>
      <c r="S303" s="257">
        <f t="shared" si="136"/>
        <v>0</v>
      </c>
      <c r="T303" s="257"/>
      <c r="U303" s="257"/>
      <c r="V303" s="257">
        <f t="shared" si="137"/>
        <v>0</v>
      </c>
      <c r="W303" s="257"/>
      <c r="X303" s="257"/>
      <c r="Y303" s="257">
        <f t="shared" si="138"/>
        <v>0</v>
      </c>
      <c r="Z303" s="257"/>
      <c r="AA303" s="257"/>
      <c r="AB303" s="257">
        <f t="shared" si="139"/>
        <v>0</v>
      </c>
    </row>
    <row r="304" spans="1:189" s="251" customFormat="1" ht="63" x14ac:dyDescent="0.25">
      <c r="A304" s="261" t="s">
        <v>145</v>
      </c>
      <c r="B304" s="263">
        <f t="shared" si="287"/>
        <v>77000</v>
      </c>
      <c r="C304" s="263">
        <f t="shared" si="287"/>
        <v>77000</v>
      </c>
      <c r="D304" s="263">
        <f t="shared" si="287"/>
        <v>0</v>
      </c>
      <c r="E304" s="263"/>
      <c r="F304" s="263"/>
      <c r="G304" s="263">
        <f t="shared" si="297"/>
        <v>0</v>
      </c>
      <c r="H304" s="263"/>
      <c r="I304" s="263"/>
      <c r="J304" s="263">
        <f t="shared" si="133"/>
        <v>0</v>
      </c>
      <c r="K304" s="263"/>
      <c r="L304" s="263"/>
      <c r="M304" s="263">
        <f t="shared" si="134"/>
        <v>0</v>
      </c>
      <c r="N304" s="263">
        <v>77000</v>
      </c>
      <c r="O304" s="263">
        <v>77000</v>
      </c>
      <c r="P304" s="263">
        <f t="shared" si="135"/>
        <v>0</v>
      </c>
      <c r="Q304" s="263"/>
      <c r="R304" s="263"/>
      <c r="S304" s="263">
        <f t="shared" si="136"/>
        <v>0</v>
      </c>
      <c r="T304" s="263"/>
      <c r="U304" s="263"/>
      <c r="V304" s="263">
        <f t="shared" si="137"/>
        <v>0</v>
      </c>
      <c r="W304" s="263"/>
      <c r="X304" s="263"/>
      <c r="Y304" s="263">
        <f t="shared" si="138"/>
        <v>0</v>
      </c>
      <c r="Z304" s="263"/>
      <c r="AA304" s="263"/>
      <c r="AB304" s="263">
        <f t="shared" si="139"/>
        <v>0</v>
      </c>
      <c r="AC304" s="254"/>
      <c r="AD304" s="254"/>
      <c r="AE304" s="254"/>
      <c r="AF304" s="254"/>
      <c r="AG304" s="254"/>
      <c r="AH304" s="254"/>
      <c r="AI304" s="254"/>
      <c r="AJ304" s="254"/>
      <c r="AK304" s="254"/>
      <c r="AL304" s="254"/>
      <c r="AM304" s="254"/>
      <c r="AN304" s="254"/>
      <c r="AO304" s="254"/>
      <c r="AP304" s="254"/>
      <c r="AQ304" s="254"/>
      <c r="AR304" s="254"/>
      <c r="AS304" s="254"/>
      <c r="AT304" s="254"/>
      <c r="AU304" s="254"/>
      <c r="AV304" s="254"/>
      <c r="AW304" s="254"/>
      <c r="AX304" s="254"/>
      <c r="AY304" s="254"/>
      <c r="AZ304" s="254"/>
      <c r="BA304" s="254"/>
      <c r="BB304" s="254"/>
      <c r="BC304" s="254"/>
      <c r="BD304" s="254"/>
      <c r="BE304" s="254"/>
      <c r="BF304" s="254"/>
      <c r="BG304" s="254"/>
      <c r="BH304" s="254"/>
      <c r="BI304" s="254"/>
      <c r="BJ304" s="254"/>
      <c r="BK304" s="254"/>
      <c r="BL304" s="254"/>
      <c r="BM304" s="254"/>
      <c r="BN304" s="254"/>
      <c r="BO304" s="254"/>
      <c r="BP304" s="254"/>
      <c r="BQ304" s="254"/>
      <c r="BR304" s="254"/>
      <c r="BS304" s="254"/>
      <c r="BT304" s="254"/>
      <c r="BU304" s="254"/>
      <c r="BV304" s="254"/>
      <c r="BW304" s="254"/>
      <c r="BX304" s="254"/>
      <c r="BY304" s="254"/>
      <c r="BZ304" s="254"/>
      <c r="CA304" s="254"/>
      <c r="CB304" s="254"/>
      <c r="CC304" s="254"/>
      <c r="CD304" s="254"/>
      <c r="CE304" s="254"/>
      <c r="CF304" s="254"/>
      <c r="CG304" s="254"/>
      <c r="CH304" s="254"/>
      <c r="CI304" s="254"/>
      <c r="CJ304" s="254"/>
      <c r="CK304" s="254"/>
      <c r="CL304" s="254"/>
      <c r="CM304" s="254"/>
      <c r="CN304" s="254"/>
      <c r="CO304" s="254"/>
      <c r="CP304" s="254"/>
      <c r="CQ304" s="254"/>
      <c r="CR304" s="254"/>
      <c r="CS304" s="254"/>
      <c r="CT304" s="254"/>
      <c r="CU304" s="254"/>
      <c r="CV304" s="254"/>
      <c r="CW304" s="254"/>
      <c r="CX304" s="254"/>
      <c r="CY304" s="254"/>
      <c r="CZ304" s="254"/>
      <c r="DA304" s="254"/>
      <c r="DB304" s="254"/>
      <c r="DC304" s="254"/>
      <c r="DD304" s="254"/>
      <c r="DE304" s="254"/>
      <c r="DF304" s="254"/>
      <c r="DG304" s="254"/>
      <c r="DH304" s="254"/>
      <c r="DI304" s="254"/>
      <c r="DJ304" s="254"/>
      <c r="DK304" s="254"/>
      <c r="DL304" s="254"/>
      <c r="DM304" s="254"/>
      <c r="DN304" s="254"/>
      <c r="DO304" s="254"/>
      <c r="DP304" s="254"/>
      <c r="DQ304" s="254"/>
      <c r="DR304" s="254"/>
      <c r="DS304" s="254"/>
      <c r="DT304" s="254"/>
      <c r="DU304" s="254"/>
      <c r="DV304" s="254"/>
      <c r="DW304" s="254"/>
      <c r="DX304" s="254"/>
      <c r="DY304" s="254"/>
      <c r="DZ304" s="254"/>
      <c r="EA304" s="254"/>
      <c r="EB304" s="254"/>
      <c r="EC304" s="254"/>
      <c r="ED304" s="254"/>
      <c r="EE304" s="254"/>
      <c r="EF304" s="254"/>
      <c r="EG304" s="254"/>
      <c r="EH304" s="254"/>
      <c r="EI304" s="254"/>
      <c r="EJ304" s="254"/>
      <c r="EK304" s="254"/>
      <c r="EL304" s="254"/>
      <c r="EM304" s="254"/>
      <c r="EN304" s="254"/>
      <c r="EO304" s="254"/>
      <c r="EP304" s="254"/>
      <c r="EQ304" s="254"/>
      <c r="ER304" s="254"/>
      <c r="ES304" s="254"/>
      <c r="ET304" s="254"/>
      <c r="EU304" s="254"/>
      <c r="EV304" s="254"/>
      <c r="EW304" s="254"/>
      <c r="EX304" s="254"/>
      <c r="EY304" s="254"/>
      <c r="EZ304" s="254"/>
      <c r="FA304" s="254"/>
      <c r="FB304" s="254"/>
      <c r="FC304" s="254"/>
      <c r="FD304" s="254"/>
      <c r="FE304" s="254"/>
      <c r="FF304" s="254"/>
      <c r="FG304" s="254"/>
      <c r="FH304" s="254"/>
      <c r="FI304" s="254"/>
      <c r="FJ304" s="254"/>
      <c r="FK304" s="254"/>
      <c r="FL304" s="254"/>
      <c r="FM304" s="254"/>
      <c r="FN304" s="254"/>
      <c r="FO304" s="254"/>
      <c r="FP304" s="254"/>
      <c r="FQ304" s="254"/>
      <c r="FR304" s="254"/>
      <c r="FS304" s="254"/>
      <c r="FT304" s="254"/>
      <c r="FU304" s="254"/>
      <c r="FV304" s="254"/>
      <c r="FW304" s="254"/>
      <c r="FX304" s="254"/>
      <c r="FY304" s="254"/>
      <c r="FZ304" s="254"/>
      <c r="GA304" s="254"/>
      <c r="GB304" s="254"/>
      <c r="GC304" s="254"/>
      <c r="GD304" s="254"/>
      <c r="GE304" s="254"/>
      <c r="GF304" s="254"/>
      <c r="GG304" s="254"/>
    </row>
    <row r="305" spans="1:189" s="254" customFormat="1" x14ac:dyDescent="0.25">
      <c r="A305" s="252" t="s">
        <v>123</v>
      </c>
      <c r="B305" s="253">
        <f t="shared" si="287"/>
        <v>33238</v>
      </c>
      <c r="C305" s="253">
        <f t="shared" si="287"/>
        <v>33238</v>
      </c>
      <c r="D305" s="253">
        <f t="shared" si="287"/>
        <v>0</v>
      </c>
      <c r="E305" s="253">
        <f>SUM(E306:E307)</f>
        <v>0</v>
      </c>
      <c r="F305" s="253">
        <f>SUM(F306:F307)</f>
        <v>0</v>
      </c>
      <c r="G305" s="253">
        <f t="shared" si="297"/>
        <v>0</v>
      </c>
      <c r="H305" s="253">
        <f>SUM(H306:H307)</f>
        <v>0</v>
      </c>
      <c r="I305" s="253">
        <f>SUM(I306:I307)</f>
        <v>0</v>
      </c>
      <c r="J305" s="253">
        <f t="shared" si="133"/>
        <v>0</v>
      </c>
      <c r="K305" s="253">
        <f>SUM(K306:K307)</f>
        <v>0</v>
      </c>
      <c r="L305" s="253">
        <f>SUM(L306:L307)</f>
        <v>0</v>
      </c>
      <c r="M305" s="253">
        <f t="shared" si="134"/>
        <v>0</v>
      </c>
      <c r="N305" s="253">
        <f>SUM(N306:N307)</f>
        <v>33238</v>
      </c>
      <c r="O305" s="253">
        <f>SUM(O306:O307)</f>
        <v>33238</v>
      </c>
      <c r="P305" s="253">
        <f t="shared" si="135"/>
        <v>0</v>
      </c>
      <c r="Q305" s="253">
        <f>SUM(Q306:Q307)</f>
        <v>0</v>
      </c>
      <c r="R305" s="253">
        <f>SUM(R306:R307)</f>
        <v>0</v>
      </c>
      <c r="S305" s="253">
        <f t="shared" si="136"/>
        <v>0</v>
      </c>
      <c r="T305" s="253">
        <f>SUM(T306:T307)</f>
        <v>0</v>
      </c>
      <c r="U305" s="253">
        <f>SUM(U306:U307)</f>
        <v>0</v>
      </c>
      <c r="V305" s="253">
        <f t="shared" si="137"/>
        <v>0</v>
      </c>
      <c r="W305" s="253">
        <f>SUM(W306:W307)</f>
        <v>0</v>
      </c>
      <c r="X305" s="253">
        <f>SUM(X306:X307)</f>
        <v>0</v>
      </c>
      <c r="Y305" s="253">
        <f t="shared" si="138"/>
        <v>0</v>
      </c>
      <c r="Z305" s="253">
        <f>SUM(Z306:Z307)</f>
        <v>0</v>
      </c>
      <c r="AA305" s="253">
        <f>SUM(AA306:AA307)</f>
        <v>0</v>
      </c>
      <c r="AB305" s="253">
        <f t="shared" si="139"/>
        <v>0</v>
      </c>
      <c r="AC305" s="251"/>
      <c r="AD305" s="251"/>
      <c r="AE305" s="251"/>
      <c r="AF305" s="251"/>
      <c r="AG305" s="251"/>
      <c r="AH305" s="251"/>
      <c r="AI305" s="251"/>
      <c r="AJ305" s="251"/>
      <c r="AK305" s="251"/>
      <c r="AL305" s="251"/>
      <c r="AM305" s="251"/>
      <c r="AN305" s="251"/>
      <c r="AO305" s="251"/>
      <c r="AP305" s="251"/>
      <c r="AQ305" s="251"/>
      <c r="AR305" s="251"/>
      <c r="AS305" s="251"/>
      <c r="AT305" s="251"/>
      <c r="AU305" s="251"/>
      <c r="AV305" s="251"/>
      <c r="AW305" s="251"/>
      <c r="AX305" s="251"/>
      <c r="AY305" s="251"/>
      <c r="AZ305" s="251"/>
      <c r="BA305" s="251"/>
      <c r="BB305" s="251"/>
      <c r="BC305" s="251"/>
      <c r="BD305" s="251"/>
      <c r="BE305" s="251"/>
      <c r="BF305" s="251"/>
      <c r="BG305" s="251"/>
      <c r="BH305" s="251"/>
      <c r="BI305" s="251"/>
      <c r="BJ305" s="251"/>
      <c r="BK305" s="251"/>
      <c r="BL305" s="251"/>
      <c r="BM305" s="251"/>
      <c r="BN305" s="251"/>
      <c r="BO305" s="251"/>
      <c r="BP305" s="251"/>
      <c r="BQ305" s="251"/>
      <c r="BR305" s="251"/>
      <c r="BS305" s="251"/>
      <c r="BT305" s="251"/>
      <c r="BU305" s="251"/>
      <c r="BV305" s="251"/>
      <c r="BW305" s="251"/>
      <c r="BX305" s="251"/>
      <c r="BY305" s="251"/>
      <c r="BZ305" s="251"/>
      <c r="CA305" s="251"/>
      <c r="CB305" s="251"/>
      <c r="CC305" s="251"/>
      <c r="CD305" s="251"/>
      <c r="CE305" s="251"/>
      <c r="CF305" s="251"/>
      <c r="CG305" s="251"/>
      <c r="CH305" s="251"/>
      <c r="CI305" s="251"/>
      <c r="CJ305" s="251"/>
      <c r="CK305" s="251"/>
      <c r="CL305" s="251"/>
      <c r="CM305" s="251"/>
      <c r="CN305" s="251"/>
      <c r="CO305" s="251"/>
      <c r="CP305" s="251"/>
      <c r="CQ305" s="251"/>
      <c r="CR305" s="251"/>
      <c r="CS305" s="251"/>
      <c r="CT305" s="251"/>
      <c r="CU305" s="251"/>
      <c r="CV305" s="251"/>
      <c r="CW305" s="251"/>
      <c r="CX305" s="251"/>
      <c r="CY305" s="251"/>
      <c r="CZ305" s="251"/>
      <c r="DA305" s="251"/>
      <c r="DB305" s="251"/>
      <c r="DC305" s="251"/>
      <c r="DD305" s="251"/>
      <c r="DE305" s="251"/>
      <c r="DF305" s="251"/>
      <c r="DG305" s="251"/>
      <c r="DH305" s="251"/>
      <c r="DI305" s="251"/>
      <c r="DJ305" s="251"/>
      <c r="DK305" s="251"/>
      <c r="DL305" s="251"/>
      <c r="DM305" s="251"/>
      <c r="DN305" s="251"/>
      <c r="DO305" s="251"/>
      <c r="DP305" s="251"/>
      <c r="DQ305" s="251"/>
      <c r="DR305" s="251"/>
      <c r="DS305" s="251"/>
      <c r="DT305" s="251"/>
      <c r="DU305" s="251"/>
      <c r="DV305" s="251"/>
      <c r="DW305" s="251"/>
      <c r="DX305" s="251"/>
      <c r="DY305" s="251"/>
      <c r="DZ305" s="251"/>
      <c r="EA305" s="251"/>
      <c r="EB305" s="251"/>
      <c r="EC305" s="251"/>
      <c r="ED305" s="251"/>
      <c r="EE305" s="251"/>
      <c r="EF305" s="251"/>
      <c r="EG305" s="251"/>
      <c r="EH305" s="251"/>
      <c r="EI305" s="251"/>
      <c r="EJ305" s="251"/>
      <c r="EK305" s="251"/>
      <c r="EL305" s="251"/>
      <c r="EM305" s="251"/>
      <c r="EN305" s="251"/>
      <c r="EO305" s="251"/>
      <c r="EP305" s="251"/>
      <c r="EQ305" s="251"/>
      <c r="ER305" s="251"/>
      <c r="ES305" s="251"/>
      <c r="ET305" s="251"/>
      <c r="EU305" s="251"/>
      <c r="EV305" s="251"/>
      <c r="EW305" s="251"/>
      <c r="EX305" s="251"/>
      <c r="EY305" s="251"/>
      <c r="EZ305" s="251"/>
      <c r="FA305" s="251"/>
      <c r="FB305" s="251"/>
      <c r="FC305" s="251"/>
      <c r="FD305" s="251"/>
      <c r="FE305" s="251"/>
      <c r="FF305" s="251"/>
      <c r="FG305" s="251"/>
      <c r="FH305" s="251"/>
      <c r="FI305" s="251"/>
      <c r="FJ305" s="251"/>
      <c r="FK305" s="251"/>
      <c r="FL305" s="251"/>
      <c r="FM305" s="251"/>
      <c r="FN305" s="251"/>
      <c r="FO305" s="251"/>
      <c r="FP305" s="251"/>
      <c r="FQ305" s="251"/>
      <c r="FR305" s="251"/>
      <c r="FS305" s="251"/>
      <c r="FT305" s="251"/>
      <c r="FU305" s="251"/>
      <c r="FV305" s="251"/>
      <c r="FW305" s="251"/>
      <c r="FX305" s="251"/>
      <c r="FY305" s="251"/>
      <c r="FZ305" s="251"/>
      <c r="GA305" s="251"/>
      <c r="GB305" s="251"/>
      <c r="GC305" s="251"/>
      <c r="GD305" s="251"/>
      <c r="GE305" s="251"/>
      <c r="GF305" s="251"/>
      <c r="GG305" s="251"/>
    </row>
    <row r="306" spans="1:189" s="254" customFormat="1" ht="94.5" x14ac:dyDescent="0.25">
      <c r="A306" s="264" t="s">
        <v>146</v>
      </c>
      <c r="B306" s="260">
        <f t="shared" si="287"/>
        <v>31838</v>
      </c>
      <c r="C306" s="260">
        <f t="shared" si="287"/>
        <v>31838</v>
      </c>
      <c r="D306" s="260">
        <f t="shared" si="287"/>
        <v>0</v>
      </c>
      <c r="E306" s="260"/>
      <c r="F306" s="260"/>
      <c r="G306" s="260">
        <f t="shared" si="297"/>
        <v>0</v>
      </c>
      <c r="H306" s="260"/>
      <c r="I306" s="260"/>
      <c r="J306" s="260">
        <f t="shared" si="133"/>
        <v>0</v>
      </c>
      <c r="K306" s="260"/>
      <c r="L306" s="260"/>
      <c r="M306" s="260">
        <f t="shared" si="134"/>
        <v>0</v>
      </c>
      <c r="N306" s="260">
        <f>30228+1610</f>
        <v>31838</v>
      </c>
      <c r="O306" s="260">
        <f>30228+1610</f>
        <v>31838</v>
      </c>
      <c r="P306" s="260">
        <f t="shared" si="135"/>
        <v>0</v>
      </c>
      <c r="Q306" s="260"/>
      <c r="R306" s="260"/>
      <c r="S306" s="260">
        <f t="shared" si="136"/>
        <v>0</v>
      </c>
      <c r="T306" s="260"/>
      <c r="U306" s="260"/>
      <c r="V306" s="260">
        <f t="shared" si="137"/>
        <v>0</v>
      </c>
      <c r="W306" s="260"/>
      <c r="X306" s="260"/>
      <c r="Y306" s="260">
        <f t="shared" si="138"/>
        <v>0</v>
      </c>
      <c r="Z306" s="260"/>
      <c r="AA306" s="260"/>
      <c r="AB306" s="260">
        <f t="shared" si="139"/>
        <v>0</v>
      </c>
    </row>
    <row r="307" spans="1:189" s="254" customFormat="1" ht="94.5" x14ac:dyDescent="0.25">
      <c r="A307" s="261" t="s">
        <v>147</v>
      </c>
      <c r="B307" s="257">
        <f t="shared" si="287"/>
        <v>1400</v>
      </c>
      <c r="C307" s="257">
        <f t="shared" si="287"/>
        <v>1400</v>
      </c>
      <c r="D307" s="257">
        <f t="shared" si="287"/>
        <v>0</v>
      </c>
      <c r="E307" s="257"/>
      <c r="F307" s="257"/>
      <c r="G307" s="257">
        <f t="shared" si="297"/>
        <v>0</v>
      </c>
      <c r="H307" s="257"/>
      <c r="I307" s="257"/>
      <c r="J307" s="257">
        <f t="shared" si="133"/>
        <v>0</v>
      </c>
      <c r="K307" s="257"/>
      <c r="L307" s="257"/>
      <c r="M307" s="257">
        <f t="shared" si="134"/>
        <v>0</v>
      </c>
      <c r="N307" s="257">
        <f>2625-1225</f>
        <v>1400</v>
      </c>
      <c r="O307" s="257">
        <f>2625-1225</f>
        <v>1400</v>
      </c>
      <c r="P307" s="257">
        <f t="shared" si="135"/>
        <v>0</v>
      </c>
      <c r="Q307" s="257"/>
      <c r="R307" s="257"/>
      <c r="S307" s="257">
        <f t="shared" si="136"/>
        <v>0</v>
      </c>
      <c r="T307" s="257"/>
      <c r="U307" s="257"/>
      <c r="V307" s="257">
        <f t="shared" si="137"/>
        <v>0</v>
      </c>
      <c r="W307" s="257"/>
      <c r="X307" s="257"/>
      <c r="Y307" s="257">
        <f t="shared" si="138"/>
        <v>0</v>
      </c>
      <c r="Z307" s="257"/>
      <c r="AA307" s="257"/>
      <c r="AB307" s="257">
        <f t="shared" si="139"/>
        <v>0</v>
      </c>
    </row>
    <row r="308" spans="1:189" s="254" customFormat="1" x14ac:dyDescent="0.25">
      <c r="A308" s="252" t="s">
        <v>113</v>
      </c>
      <c r="B308" s="253">
        <f t="shared" si="287"/>
        <v>27000</v>
      </c>
      <c r="C308" s="253">
        <f t="shared" si="287"/>
        <v>27000</v>
      </c>
      <c r="D308" s="253">
        <f t="shared" si="287"/>
        <v>0</v>
      </c>
      <c r="E308" s="253">
        <f>SUM(E309:E309)</f>
        <v>0</v>
      </c>
      <c r="F308" s="253">
        <f>SUM(F309:F309)</f>
        <v>0</v>
      </c>
      <c r="G308" s="253">
        <f t="shared" si="297"/>
        <v>0</v>
      </c>
      <c r="H308" s="253">
        <f t="shared" ref="H308:I308" si="483">SUM(H309:H309)</f>
        <v>27000</v>
      </c>
      <c r="I308" s="253">
        <f t="shared" si="483"/>
        <v>27000</v>
      </c>
      <c r="J308" s="253">
        <f t="shared" si="133"/>
        <v>0</v>
      </c>
      <c r="K308" s="253">
        <f t="shared" ref="K308:L308" si="484">SUM(K309:K309)</f>
        <v>0</v>
      </c>
      <c r="L308" s="253">
        <f t="shared" si="484"/>
        <v>0</v>
      </c>
      <c r="M308" s="253">
        <f t="shared" si="134"/>
        <v>0</v>
      </c>
      <c r="N308" s="253">
        <f t="shared" ref="N308:O308" si="485">SUM(N309:N309)</f>
        <v>0</v>
      </c>
      <c r="O308" s="253">
        <f t="shared" si="485"/>
        <v>0</v>
      </c>
      <c r="P308" s="253">
        <f t="shared" si="135"/>
        <v>0</v>
      </c>
      <c r="Q308" s="253">
        <f t="shared" ref="Q308:R308" si="486">SUM(Q309:Q309)</f>
        <v>0</v>
      </c>
      <c r="R308" s="253">
        <f t="shared" si="486"/>
        <v>0</v>
      </c>
      <c r="S308" s="253">
        <f t="shared" si="136"/>
        <v>0</v>
      </c>
      <c r="T308" s="253">
        <f t="shared" ref="T308:U308" si="487">SUM(T309:T309)</f>
        <v>0</v>
      </c>
      <c r="U308" s="253">
        <f t="shared" si="487"/>
        <v>0</v>
      </c>
      <c r="V308" s="253">
        <f t="shared" si="137"/>
        <v>0</v>
      </c>
      <c r="W308" s="253">
        <f t="shared" ref="W308:X308" si="488">SUM(W309:W309)</f>
        <v>0</v>
      </c>
      <c r="X308" s="253">
        <f t="shared" si="488"/>
        <v>0</v>
      </c>
      <c r="Y308" s="253">
        <f t="shared" si="138"/>
        <v>0</v>
      </c>
      <c r="Z308" s="253">
        <f t="shared" ref="Z308:AA308" si="489">SUM(Z309:Z309)</f>
        <v>0</v>
      </c>
      <c r="AA308" s="253">
        <f t="shared" si="489"/>
        <v>0</v>
      </c>
      <c r="AB308" s="253">
        <f t="shared" si="139"/>
        <v>0</v>
      </c>
    </row>
    <row r="309" spans="1:189" s="254" customFormat="1" ht="63" x14ac:dyDescent="0.25">
      <c r="A309" s="267" t="s">
        <v>148</v>
      </c>
      <c r="B309" s="260">
        <f t="shared" si="287"/>
        <v>27000</v>
      </c>
      <c r="C309" s="260">
        <f t="shared" si="287"/>
        <v>27000</v>
      </c>
      <c r="D309" s="260">
        <f t="shared" si="287"/>
        <v>0</v>
      </c>
      <c r="E309" s="260"/>
      <c r="F309" s="260"/>
      <c r="G309" s="260">
        <f t="shared" si="297"/>
        <v>0</v>
      </c>
      <c r="H309" s="260">
        <v>27000</v>
      </c>
      <c r="I309" s="260">
        <v>27000</v>
      </c>
      <c r="J309" s="260">
        <f t="shared" si="133"/>
        <v>0</v>
      </c>
      <c r="K309" s="260"/>
      <c r="L309" s="260"/>
      <c r="M309" s="260">
        <f t="shared" si="134"/>
        <v>0</v>
      </c>
      <c r="N309" s="260"/>
      <c r="O309" s="260"/>
      <c r="P309" s="260">
        <f t="shared" si="135"/>
        <v>0</v>
      </c>
      <c r="Q309" s="260"/>
      <c r="R309" s="260"/>
      <c r="S309" s="260">
        <f t="shared" si="136"/>
        <v>0</v>
      </c>
      <c r="T309" s="260"/>
      <c r="U309" s="260"/>
      <c r="V309" s="260">
        <f t="shared" si="137"/>
        <v>0</v>
      </c>
      <c r="W309" s="260"/>
      <c r="X309" s="260"/>
      <c r="Y309" s="260">
        <f t="shared" si="138"/>
        <v>0</v>
      </c>
      <c r="Z309" s="260"/>
      <c r="AA309" s="260"/>
      <c r="AB309" s="260">
        <f t="shared" si="139"/>
        <v>0</v>
      </c>
    </row>
    <row r="310" spans="1:189" s="254" customFormat="1" ht="31.5" x14ac:dyDescent="0.25">
      <c r="A310" s="252" t="s">
        <v>42</v>
      </c>
      <c r="B310" s="253">
        <f t="shared" si="287"/>
        <v>6564961</v>
      </c>
      <c r="C310" s="253">
        <f t="shared" si="287"/>
        <v>6563672</v>
      </c>
      <c r="D310" s="253">
        <f t="shared" si="287"/>
        <v>-1289</v>
      </c>
      <c r="E310" s="253">
        <f>SUM(E311,E314,E319,E329,E323,E347)</f>
        <v>360914</v>
      </c>
      <c r="F310" s="253">
        <f>SUM(F311,F314,F319,F329,F323,F347)</f>
        <v>247426</v>
      </c>
      <c r="G310" s="253">
        <f t="shared" si="297"/>
        <v>-113488</v>
      </c>
      <c r="H310" s="253">
        <f t="shared" ref="H310" si="490">SUM(H311,H314,H319,H329,H323,H347)</f>
        <v>270323</v>
      </c>
      <c r="I310" s="253">
        <f t="shared" ref="I310" si="491">SUM(I311,I314,I319,I329,I323,I347)</f>
        <v>339029</v>
      </c>
      <c r="J310" s="253">
        <f t="shared" si="133"/>
        <v>68706</v>
      </c>
      <c r="K310" s="253">
        <f t="shared" ref="K310" si="492">SUM(K311,K314,K319,K329,K323,K347)</f>
        <v>327439</v>
      </c>
      <c r="L310" s="253">
        <f t="shared" ref="L310" si="493">SUM(L311,L314,L319,L329,L323,L347)</f>
        <v>370932</v>
      </c>
      <c r="M310" s="253">
        <f t="shared" si="134"/>
        <v>43493</v>
      </c>
      <c r="N310" s="253">
        <f t="shared" ref="N310" si="494">SUM(N311,N314,N319,N329,N323,N347)</f>
        <v>1413680</v>
      </c>
      <c r="O310" s="253">
        <f t="shared" ref="O310" si="495">SUM(O311,O314,O319,O329,O323,O347)</f>
        <v>1413680</v>
      </c>
      <c r="P310" s="253">
        <f t="shared" si="135"/>
        <v>0</v>
      </c>
      <c r="Q310" s="253">
        <f t="shared" ref="Q310" si="496">SUM(Q311,Q314,Q319,Q329,Q323,Q347)</f>
        <v>0</v>
      </c>
      <c r="R310" s="253">
        <f t="shared" ref="R310" si="497">SUM(R311,R314,R319,R329,R323,R347)</f>
        <v>0</v>
      </c>
      <c r="S310" s="253">
        <f t="shared" si="136"/>
        <v>0</v>
      </c>
      <c r="T310" s="253">
        <f t="shared" ref="T310" si="498">SUM(T311,T314,T319,T329,T323,T347)</f>
        <v>3672605</v>
      </c>
      <c r="U310" s="253">
        <f t="shared" ref="U310" si="499">SUM(U311,U314,U319,U329,U323,U347)</f>
        <v>3672605</v>
      </c>
      <c r="V310" s="253">
        <f t="shared" si="137"/>
        <v>0</v>
      </c>
      <c r="W310" s="253">
        <f t="shared" ref="W310:X310" si="500">SUM(W311,W314,W319,W329,W323,W347)</f>
        <v>10000</v>
      </c>
      <c r="X310" s="253">
        <f t="shared" si="500"/>
        <v>10000</v>
      </c>
      <c r="Y310" s="253">
        <f t="shared" si="138"/>
        <v>0</v>
      </c>
      <c r="Z310" s="253">
        <f t="shared" ref="Z310" si="501">SUM(Z311,Z314,Z319,Z329,Z323,Z347)</f>
        <v>510000</v>
      </c>
      <c r="AA310" s="253">
        <f t="shared" ref="AA310" si="502">SUM(AA311,AA314,AA319,AA329,AA323,AA347)</f>
        <v>510000</v>
      </c>
      <c r="AB310" s="253">
        <f t="shared" si="139"/>
        <v>0</v>
      </c>
    </row>
    <row r="311" spans="1:189" s="251" customFormat="1" x14ac:dyDescent="0.25">
      <c r="A311" s="252" t="s">
        <v>101</v>
      </c>
      <c r="B311" s="253">
        <f t="shared" si="287"/>
        <v>2994</v>
      </c>
      <c r="C311" s="253">
        <f t="shared" si="287"/>
        <v>2992</v>
      </c>
      <c r="D311" s="253">
        <f t="shared" si="287"/>
        <v>-2</v>
      </c>
      <c r="E311" s="253">
        <f>SUM(E312:E313)</f>
        <v>0</v>
      </c>
      <c r="F311" s="253">
        <f>SUM(F312:F313)</f>
        <v>0</v>
      </c>
      <c r="G311" s="253">
        <f t="shared" si="297"/>
        <v>0</v>
      </c>
      <c r="H311" s="253">
        <f t="shared" ref="H311" si="503">SUM(H312:H313)</f>
        <v>0</v>
      </c>
      <c r="I311" s="253">
        <f t="shared" ref="I311" si="504">SUM(I312:I313)</f>
        <v>0</v>
      </c>
      <c r="J311" s="253">
        <f t="shared" ref="J311:J405" si="505">I311-H311</f>
        <v>0</v>
      </c>
      <c r="K311" s="253">
        <f t="shared" ref="K311" si="506">SUM(K312:K313)</f>
        <v>650</v>
      </c>
      <c r="L311" s="253">
        <f t="shared" ref="L311" si="507">SUM(L312:L313)</f>
        <v>648</v>
      </c>
      <c r="M311" s="253">
        <f t="shared" ref="M311:M405" si="508">L311-K311</f>
        <v>-2</v>
      </c>
      <c r="N311" s="253">
        <f t="shared" ref="N311" si="509">SUM(N312:N313)</f>
        <v>2344</v>
      </c>
      <c r="O311" s="253">
        <f t="shared" ref="O311" si="510">SUM(O312:O313)</f>
        <v>2344</v>
      </c>
      <c r="P311" s="253">
        <f t="shared" ref="P311:P405" si="511">O311-N311</f>
        <v>0</v>
      </c>
      <c r="Q311" s="253">
        <f t="shared" ref="Q311" si="512">SUM(Q312:Q313)</f>
        <v>0</v>
      </c>
      <c r="R311" s="253">
        <f t="shared" ref="R311" si="513">SUM(R312:R313)</f>
        <v>0</v>
      </c>
      <c r="S311" s="253">
        <f t="shared" ref="S311:S405" si="514">R311-Q311</f>
        <v>0</v>
      </c>
      <c r="T311" s="253">
        <f t="shared" ref="T311" si="515">SUM(T312:T313)</f>
        <v>0</v>
      </c>
      <c r="U311" s="253">
        <f t="shared" ref="U311" si="516">SUM(U312:U313)</f>
        <v>0</v>
      </c>
      <c r="V311" s="253">
        <f t="shared" ref="V311:V405" si="517">U311-T311</f>
        <v>0</v>
      </c>
      <c r="W311" s="253">
        <f t="shared" ref="W311:X311" si="518">SUM(W312:W313)</f>
        <v>0</v>
      </c>
      <c r="X311" s="253">
        <f t="shared" si="518"/>
        <v>0</v>
      </c>
      <c r="Y311" s="253">
        <f t="shared" ref="Y311:Y405" si="519">X311-W311</f>
        <v>0</v>
      </c>
      <c r="Z311" s="253">
        <f t="shared" ref="Z311" si="520">SUM(Z312:Z313)</f>
        <v>0</v>
      </c>
      <c r="AA311" s="253">
        <f t="shared" ref="AA311" si="521">SUM(AA312:AA313)</f>
        <v>0</v>
      </c>
      <c r="AB311" s="253">
        <f t="shared" ref="AB311:AB405" si="522">AA311-Z311</f>
        <v>0</v>
      </c>
      <c r="AC311" s="254"/>
      <c r="AD311" s="254"/>
      <c r="AE311" s="254"/>
      <c r="AF311" s="254"/>
      <c r="AG311" s="254"/>
      <c r="AH311" s="254"/>
      <c r="AI311" s="254"/>
      <c r="AJ311" s="254"/>
      <c r="AK311" s="254"/>
      <c r="AL311" s="254"/>
      <c r="AM311" s="254"/>
      <c r="AN311" s="254"/>
      <c r="AO311" s="254"/>
      <c r="AP311" s="254"/>
      <c r="AQ311" s="254"/>
      <c r="AR311" s="254"/>
      <c r="AS311" s="254"/>
      <c r="AT311" s="254"/>
      <c r="AU311" s="254"/>
      <c r="AV311" s="254"/>
      <c r="AW311" s="254"/>
      <c r="AX311" s="254"/>
      <c r="AY311" s="254"/>
      <c r="AZ311" s="254"/>
      <c r="BA311" s="254"/>
      <c r="BB311" s="254"/>
      <c r="BC311" s="254"/>
      <c r="BD311" s="254"/>
      <c r="BE311" s="254"/>
      <c r="BF311" s="254"/>
      <c r="BG311" s="254"/>
      <c r="BH311" s="254"/>
      <c r="BI311" s="254"/>
      <c r="BJ311" s="254"/>
      <c r="BK311" s="254"/>
      <c r="BL311" s="254"/>
      <c r="BM311" s="254"/>
      <c r="BN311" s="254"/>
      <c r="BO311" s="254"/>
      <c r="BP311" s="254"/>
      <c r="BQ311" s="254"/>
      <c r="BR311" s="254"/>
      <c r="BS311" s="254"/>
      <c r="BT311" s="254"/>
      <c r="BU311" s="254"/>
      <c r="BV311" s="254"/>
      <c r="BW311" s="254"/>
      <c r="BX311" s="254"/>
      <c r="BY311" s="254"/>
      <c r="BZ311" s="254"/>
      <c r="CA311" s="254"/>
      <c r="CB311" s="254"/>
      <c r="CC311" s="254"/>
      <c r="CD311" s="254"/>
      <c r="CE311" s="254"/>
      <c r="CF311" s="254"/>
      <c r="CG311" s="254"/>
      <c r="CH311" s="254"/>
      <c r="CI311" s="254"/>
      <c r="CJ311" s="254"/>
      <c r="CK311" s="254"/>
      <c r="CL311" s="254"/>
      <c r="CM311" s="254"/>
      <c r="CN311" s="254"/>
      <c r="CO311" s="254"/>
      <c r="CP311" s="254"/>
      <c r="CQ311" s="254"/>
      <c r="CR311" s="254"/>
      <c r="CS311" s="254"/>
      <c r="CT311" s="254"/>
      <c r="CU311" s="254"/>
      <c r="CV311" s="254"/>
      <c r="CW311" s="254"/>
      <c r="CX311" s="254"/>
      <c r="CY311" s="254"/>
      <c r="CZ311" s="254"/>
      <c r="DA311" s="254"/>
      <c r="DB311" s="254"/>
      <c r="DC311" s="254"/>
      <c r="DD311" s="254"/>
      <c r="DE311" s="254"/>
      <c r="DF311" s="254"/>
      <c r="DG311" s="254"/>
      <c r="DH311" s="254"/>
      <c r="DI311" s="254"/>
      <c r="DJ311" s="254"/>
      <c r="DK311" s="254"/>
      <c r="DL311" s="254"/>
      <c r="DM311" s="254"/>
      <c r="DN311" s="254"/>
      <c r="DO311" s="254"/>
      <c r="DP311" s="254"/>
      <c r="DQ311" s="254"/>
      <c r="DR311" s="254"/>
      <c r="DS311" s="254"/>
      <c r="DT311" s="254"/>
      <c r="DU311" s="254"/>
      <c r="DV311" s="254"/>
      <c r="DW311" s="254"/>
      <c r="DX311" s="254"/>
      <c r="DY311" s="254"/>
      <c r="DZ311" s="254"/>
      <c r="EA311" s="254"/>
      <c r="EB311" s="254"/>
      <c r="EC311" s="254"/>
      <c r="ED311" s="254"/>
      <c r="EE311" s="254"/>
      <c r="EF311" s="254"/>
      <c r="EG311" s="254"/>
      <c r="EH311" s="254"/>
      <c r="EI311" s="254"/>
      <c r="EJ311" s="254"/>
      <c r="EK311" s="254"/>
      <c r="EL311" s="254"/>
      <c r="EM311" s="254"/>
      <c r="EN311" s="254"/>
      <c r="EO311" s="254"/>
      <c r="EP311" s="254"/>
      <c r="EQ311" s="254"/>
      <c r="ER311" s="254"/>
      <c r="ES311" s="254"/>
      <c r="ET311" s="254"/>
      <c r="EU311" s="254"/>
      <c r="EV311" s="254"/>
      <c r="EW311" s="254"/>
      <c r="EX311" s="254"/>
      <c r="EY311" s="254"/>
      <c r="EZ311" s="254"/>
      <c r="FA311" s="254"/>
      <c r="FB311" s="254"/>
      <c r="FC311" s="254"/>
      <c r="FD311" s="254"/>
      <c r="FE311" s="254"/>
      <c r="FF311" s="254"/>
      <c r="FG311" s="254"/>
      <c r="FH311" s="254"/>
      <c r="FI311" s="254"/>
      <c r="FJ311" s="254"/>
      <c r="FK311" s="254"/>
      <c r="FL311" s="254"/>
      <c r="FM311" s="254"/>
      <c r="FN311" s="254"/>
      <c r="FO311" s="254"/>
      <c r="FP311" s="254"/>
      <c r="FQ311" s="254"/>
      <c r="FR311" s="254"/>
      <c r="FS311" s="254"/>
      <c r="FT311" s="254"/>
      <c r="FU311" s="254"/>
      <c r="FV311" s="254"/>
      <c r="FW311" s="254"/>
      <c r="FX311" s="254"/>
      <c r="FY311" s="254"/>
      <c r="FZ311" s="254"/>
      <c r="GA311" s="254"/>
      <c r="GB311" s="254"/>
      <c r="GC311" s="254"/>
      <c r="GD311" s="254"/>
      <c r="GE311" s="254"/>
      <c r="GF311" s="254"/>
      <c r="GG311" s="254"/>
    </row>
    <row r="312" spans="1:189" s="254" customFormat="1" ht="31.5" x14ac:dyDescent="0.25">
      <c r="A312" s="267" t="s">
        <v>150</v>
      </c>
      <c r="B312" s="260">
        <f t="shared" si="287"/>
        <v>650</v>
      </c>
      <c r="C312" s="260">
        <f t="shared" si="287"/>
        <v>648</v>
      </c>
      <c r="D312" s="260">
        <f t="shared" si="287"/>
        <v>-2</v>
      </c>
      <c r="E312" s="260"/>
      <c r="F312" s="260"/>
      <c r="G312" s="260">
        <f t="shared" si="297"/>
        <v>0</v>
      </c>
      <c r="H312" s="260"/>
      <c r="I312" s="260"/>
      <c r="J312" s="260">
        <f t="shared" si="505"/>
        <v>0</v>
      </c>
      <c r="K312" s="260">
        <v>650</v>
      </c>
      <c r="L312" s="260">
        <f>650-2</f>
        <v>648</v>
      </c>
      <c r="M312" s="260">
        <f t="shared" si="508"/>
        <v>-2</v>
      </c>
      <c r="N312" s="260"/>
      <c r="O312" s="260"/>
      <c r="P312" s="260">
        <f t="shared" si="511"/>
        <v>0</v>
      </c>
      <c r="Q312" s="260"/>
      <c r="R312" s="260"/>
      <c r="S312" s="260">
        <f t="shared" si="514"/>
        <v>0</v>
      </c>
      <c r="T312" s="260"/>
      <c r="U312" s="260"/>
      <c r="V312" s="260">
        <f t="shared" si="517"/>
        <v>0</v>
      </c>
      <c r="W312" s="260"/>
      <c r="X312" s="260"/>
      <c r="Y312" s="260">
        <f t="shared" si="519"/>
        <v>0</v>
      </c>
      <c r="Z312" s="260"/>
      <c r="AA312" s="260"/>
      <c r="AB312" s="260">
        <f t="shared" si="522"/>
        <v>0</v>
      </c>
    </row>
    <row r="313" spans="1:189" s="254" customFormat="1" ht="78.75" x14ac:dyDescent="0.25">
      <c r="A313" s="264" t="s">
        <v>250</v>
      </c>
      <c r="B313" s="260">
        <f t="shared" si="287"/>
        <v>2344</v>
      </c>
      <c r="C313" s="260">
        <f t="shared" si="287"/>
        <v>2344</v>
      </c>
      <c r="D313" s="260">
        <f t="shared" si="287"/>
        <v>0</v>
      </c>
      <c r="E313" s="260"/>
      <c r="F313" s="260"/>
      <c r="G313" s="260">
        <f t="shared" si="297"/>
        <v>0</v>
      </c>
      <c r="H313" s="260"/>
      <c r="I313" s="260"/>
      <c r="J313" s="260">
        <f t="shared" si="505"/>
        <v>0</v>
      </c>
      <c r="K313" s="260"/>
      <c r="L313" s="260"/>
      <c r="M313" s="260">
        <f t="shared" si="508"/>
        <v>0</v>
      </c>
      <c r="N313" s="260">
        <v>2344</v>
      </c>
      <c r="O313" s="260">
        <v>2344</v>
      </c>
      <c r="P313" s="260">
        <f t="shared" si="511"/>
        <v>0</v>
      </c>
      <c r="Q313" s="260"/>
      <c r="R313" s="260"/>
      <c r="S313" s="260">
        <f t="shared" si="514"/>
        <v>0</v>
      </c>
      <c r="T313" s="260"/>
      <c r="U313" s="260"/>
      <c r="V313" s="260">
        <f t="shared" si="517"/>
        <v>0</v>
      </c>
      <c r="W313" s="260"/>
      <c r="X313" s="260"/>
      <c r="Y313" s="260">
        <f t="shared" si="519"/>
        <v>0</v>
      </c>
      <c r="Z313" s="260"/>
      <c r="AA313" s="260"/>
      <c r="AB313" s="260">
        <f t="shared" si="522"/>
        <v>0</v>
      </c>
    </row>
    <row r="314" spans="1:189" s="251" customFormat="1" ht="31.5" x14ac:dyDescent="0.25">
      <c r="A314" s="252" t="s">
        <v>107</v>
      </c>
      <c r="B314" s="253">
        <f t="shared" si="287"/>
        <v>369765</v>
      </c>
      <c r="C314" s="253">
        <f t="shared" si="287"/>
        <v>368478</v>
      </c>
      <c r="D314" s="253">
        <f t="shared" si="287"/>
        <v>-1287</v>
      </c>
      <c r="E314" s="253">
        <f>SUM(E315:E318)</f>
        <v>0</v>
      </c>
      <c r="F314" s="253">
        <f>SUM(F315:F318)</f>
        <v>0</v>
      </c>
      <c r="G314" s="253">
        <f t="shared" si="297"/>
        <v>0</v>
      </c>
      <c r="H314" s="253">
        <f t="shared" ref="H314" si="523">SUM(H315:H318)</f>
        <v>0</v>
      </c>
      <c r="I314" s="253">
        <f t="shared" ref="I314" si="524">SUM(I315:I318)</f>
        <v>0</v>
      </c>
      <c r="J314" s="253">
        <f t="shared" si="505"/>
        <v>0</v>
      </c>
      <c r="K314" s="253">
        <f t="shared" ref="K314" si="525">SUM(K315:K318)</f>
        <v>49765</v>
      </c>
      <c r="L314" s="253">
        <f t="shared" ref="L314" si="526">SUM(L315:L318)</f>
        <v>48478</v>
      </c>
      <c r="M314" s="253">
        <f t="shared" si="508"/>
        <v>-1287</v>
      </c>
      <c r="N314" s="253">
        <f t="shared" ref="N314" si="527">SUM(N315:N318)</f>
        <v>320000</v>
      </c>
      <c r="O314" s="253">
        <f t="shared" ref="O314" si="528">SUM(O315:O318)</f>
        <v>320000</v>
      </c>
      <c r="P314" s="253">
        <f t="shared" si="511"/>
        <v>0</v>
      </c>
      <c r="Q314" s="253">
        <f t="shared" ref="Q314" si="529">SUM(Q315:Q318)</f>
        <v>0</v>
      </c>
      <c r="R314" s="253">
        <f t="shared" ref="R314" si="530">SUM(R315:R318)</f>
        <v>0</v>
      </c>
      <c r="S314" s="253">
        <f t="shared" si="514"/>
        <v>0</v>
      </c>
      <c r="T314" s="253">
        <f t="shared" ref="T314" si="531">SUM(T315:T318)</f>
        <v>0</v>
      </c>
      <c r="U314" s="253">
        <f t="shared" ref="U314" si="532">SUM(U315:U318)</f>
        <v>0</v>
      </c>
      <c r="V314" s="253">
        <f t="shared" si="517"/>
        <v>0</v>
      </c>
      <c r="W314" s="253">
        <f t="shared" ref="W314:X314" si="533">SUM(W315:W318)</f>
        <v>0</v>
      </c>
      <c r="X314" s="253">
        <f t="shared" si="533"/>
        <v>0</v>
      </c>
      <c r="Y314" s="253">
        <f t="shared" si="519"/>
        <v>0</v>
      </c>
      <c r="Z314" s="253">
        <f t="shared" ref="Z314" si="534">SUM(Z315:Z318)</f>
        <v>0</v>
      </c>
      <c r="AA314" s="253">
        <f t="shared" ref="AA314" si="535">SUM(AA315:AA318)</f>
        <v>0</v>
      </c>
      <c r="AB314" s="253">
        <f t="shared" si="522"/>
        <v>0</v>
      </c>
      <c r="AC314" s="254"/>
      <c r="AD314" s="254"/>
      <c r="AE314" s="254"/>
      <c r="AF314" s="254"/>
      <c r="AG314" s="254"/>
      <c r="AH314" s="254"/>
      <c r="AI314" s="254"/>
      <c r="AJ314" s="254"/>
      <c r="AK314" s="254"/>
      <c r="AL314" s="254"/>
      <c r="AM314" s="254"/>
      <c r="AN314" s="254"/>
      <c r="AO314" s="254"/>
      <c r="AP314" s="254"/>
      <c r="AQ314" s="254"/>
      <c r="AR314" s="254"/>
      <c r="AS314" s="254"/>
      <c r="AT314" s="254"/>
      <c r="AU314" s="254"/>
      <c r="AV314" s="254"/>
      <c r="AW314" s="254"/>
      <c r="AX314" s="254"/>
      <c r="AY314" s="254"/>
      <c r="AZ314" s="254"/>
      <c r="BA314" s="254"/>
      <c r="BB314" s="254"/>
      <c r="BC314" s="254"/>
      <c r="BD314" s="254"/>
      <c r="BE314" s="254"/>
      <c r="BF314" s="254"/>
      <c r="BG314" s="254"/>
      <c r="BH314" s="254"/>
      <c r="BI314" s="254"/>
      <c r="BJ314" s="254"/>
      <c r="BK314" s="254"/>
      <c r="BL314" s="254"/>
      <c r="BM314" s="254"/>
      <c r="BN314" s="254"/>
      <c r="BO314" s="254"/>
      <c r="BP314" s="254"/>
      <c r="BQ314" s="254"/>
      <c r="BR314" s="254"/>
      <c r="BS314" s="254"/>
      <c r="BT314" s="254"/>
      <c r="BU314" s="254"/>
      <c r="BV314" s="254"/>
      <c r="BW314" s="254"/>
      <c r="BX314" s="254"/>
      <c r="BY314" s="254"/>
      <c r="BZ314" s="254"/>
      <c r="CA314" s="254"/>
      <c r="CB314" s="254"/>
      <c r="CC314" s="254"/>
      <c r="CD314" s="254"/>
      <c r="CE314" s="254"/>
      <c r="CF314" s="254"/>
      <c r="CG314" s="254"/>
      <c r="CH314" s="254"/>
      <c r="CI314" s="254"/>
      <c r="CJ314" s="254"/>
      <c r="CK314" s="254"/>
      <c r="CL314" s="254"/>
      <c r="CM314" s="254"/>
      <c r="CN314" s="254"/>
      <c r="CO314" s="254"/>
      <c r="CP314" s="254"/>
      <c r="CQ314" s="254"/>
      <c r="CR314" s="254"/>
      <c r="CS314" s="254"/>
      <c r="CT314" s="254"/>
      <c r="CU314" s="254"/>
      <c r="CV314" s="254"/>
      <c r="CW314" s="254"/>
      <c r="CX314" s="254"/>
      <c r="CY314" s="254"/>
      <c r="CZ314" s="254"/>
      <c r="DA314" s="254"/>
      <c r="DB314" s="254"/>
      <c r="DC314" s="254"/>
      <c r="DD314" s="254"/>
      <c r="DE314" s="254"/>
      <c r="DF314" s="254"/>
      <c r="DG314" s="254"/>
      <c r="DH314" s="254"/>
      <c r="DI314" s="254"/>
      <c r="DJ314" s="254"/>
      <c r="DK314" s="254"/>
      <c r="DL314" s="254"/>
      <c r="DM314" s="254"/>
      <c r="DN314" s="254"/>
      <c r="DO314" s="254"/>
      <c r="DP314" s="254"/>
      <c r="DQ314" s="254"/>
      <c r="DR314" s="254"/>
      <c r="DS314" s="254"/>
      <c r="DT314" s="254"/>
      <c r="DU314" s="254"/>
      <c r="DV314" s="254"/>
      <c r="DW314" s="254"/>
      <c r="DX314" s="254"/>
      <c r="DY314" s="254"/>
      <c r="DZ314" s="254"/>
      <c r="EA314" s="254"/>
      <c r="EB314" s="254"/>
      <c r="EC314" s="254"/>
      <c r="ED314" s="254"/>
      <c r="EE314" s="254"/>
      <c r="EF314" s="254"/>
      <c r="EG314" s="254"/>
      <c r="EH314" s="254"/>
      <c r="EI314" s="254"/>
      <c r="EJ314" s="254"/>
      <c r="EK314" s="254"/>
      <c r="EL314" s="254"/>
      <c r="EM314" s="254"/>
      <c r="EN314" s="254"/>
      <c r="EO314" s="254"/>
      <c r="EP314" s="254"/>
      <c r="EQ314" s="254"/>
      <c r="ER314" s="254"/>
      <c r="ES314" s="254"/>
      <c r="ET314" s="254"/>
      <c r="EU314" s="254"/>
      <c r="EV314" s="254"/>
      <c r="EW314" s="254"/>
      <c r="EX314" s="254"/>
      <c r="EY314" s="254"/>
      <c r="EZ314" s="254"/>
      <c r="FA314" s="254"/>
      <c r="FB314" s="254"/>
      <c r="FC314" s="254"/>
      <c r="FD314" s="254"/>
      <c r="FE314" s="254"/>
      <c r="FF314" s="254"/>
      <c r="FG314" s="254"/>
      <c r="FH314" s="254"/>
      <c r="FI314" s="254"/>
      <c r="FJ314" s="254"/>
      <c r="FK314" s="254"/>
      <c r="FL314" s="254"/>
      <c r="FM314" s="254"/>
      <c r="FN314" s="254"/>
      <c r="FO314" s="254"/>
      <c r="FP314" s="254"/>
      <c r="FQ314" s="254"/>
      <c r="FR314" s="254"/>
      <c r="FS314" s="254"/>
      <c r="FT314" s="254"/>
      <c r="FU314" s="254"/>
      <c r="FV314" s="254"/>
      <c r="FW314" s="254"/>
      <c r="FX314" s="254"/>
      <c r="FY314" s="254"/>
      <c r="FZ314" s="254"/>
      <c r="GA314" s="254"/>
      <c r="GB314" s="254"/>
      <c r="GC314" s="254"/>
      <c r="GD314" s="254"/>
      <c r="GE314" s="254"/>
      <c r="GF314" s="254"/>
      <c r="GG314" s="254"/>
    </row>
    <row r="315" spans="1:189" s="254" customFormat="1" ht="63" x14ac:dyDescent="0.25">
      <c r="A315" s="267" t="s">
        <v>151</v>
      </c>
      <c r="B315" s="260">
        <f t="shared" si="287"/>
        <v>37000</v>
      </c>
      <c r="C315" s="260">
        <f t="shared" si="287"/>
        <v>37000</v>
      </c>
      <c r="D315" s="260">
        <f t="shared" si="287"/>
        <v>0</v>
      </c>
      <c r="E315" s="260"/>
      <c r="F315" s="260"/>
      <c r="G315" s="260">
        <f t="shared" si="297"/>
        <v>0</v>
      </c>
      <c r="H315" s="260"/>
      <c r="I315" s="260"/>
      <c r="J315" s="260">
        <f t="shared" si="505"/>
        <v>0</v>
      </c>
      <c r="K315" s="260">
        <v>37000</v>
      </c>
      <c r="L315" s="260">
        <v>37000</v>
      </c>
      <c r="M315" s="260">
        <f t="shared" si="508"/>
        <v>0</v>
      </c>
      <c r="N315" s="260"/>
      <c r="O315" s="260"/>
      <c r="P315" s="260">
        <f t="shared" si="511"/>
        <v>0</v>
      </c>
      <c r="Q315" s="260"/>
      <c r="R315" s="260"/>
      <c r="S315" s="260">
        <f t="shared" si="514"/>
        <v>0</v>
      </c>
      <c r="T315" s="260"/>
      <c r="U315" s="260"/>
      <c r="V315" s="260">
        <f t="shared" si="517"/>
        <v>0</v>
      </c>
      <c r="W315" s="260"/>
      <c r="X315" s="260"/>
      <c r="Y315" s="260">
        <f t="shared" si="519"/>
        <v>0</v>
      </c>
      <c r="Z315" s="260"/>
      <c r="AA315" s="260"/>
      <c r="AB315" s="260">
        <f t="shared" si="522"/>
        <v>0</v>
      </c>
    </row>
    <row r="316" spans="1:189" s="254" customFormat="1" x14ac:dyDescent="0.25">
      <c r="A316" s="267" t="s">
        <v>426</v>
      </c>
      <c r="B316" s="260">
        <f t="shared" si="287"/>
        <v>11478</v>
      </c>
      <c r="C316" s="260">
        <f t="shared" si="287"/>
        <v>11478</v>
      </c>
      <c r="D316" s="260">
        <f t="shared" si="287"/>
        <v>0</v>
      </c>
      <c r="E316" s="260"/>
      <c r="F316" s="260"/>
      <c r="G316" s="260">
        <f t="shared" si="297"/>
        <v>0</v>
      </c>
      <c r="H316" s="260"/>
      <c r="I316" s="260"/>
      <c r="J316" s="260">
        <f t="shared" si="505"/>
        <v>0</v>
      </c>
      <c r="K316" s="260">
        <v>11478</v>
      </c>
      <c r="L316" s="260">
        <v>11478</v>
      </c>
      <c r="M316" s="260">
        <f t="shared" si="508"/>
        <v>0</v>
      </c>
      <c r="N316" s="260"/>
      <c r="O316" s="260"/>
      <c r="P316" s="260">
        <f t="shared" si="511"/>
        <v>0</v>
      </c>
      <c r="Q316" s="260"/>
      <c r="R316" s="260"/>
      <c r="S316" s="260">
        <f t="shared" si="514"/>
        <v>0</v>
      </c>
      <c r="T316" s="260"/>
      <c r="U316" s="260"/>
      <c r="V316" s="260">
        <f t="shared" si="517"/>
        <v>0</v>
      </c>
      <c r="W316" s="260"/>
      <c r="X316" s="260"/>
      <c r="Y316" s="260">
        <f t="shared" si="519"/>
        <v>0</v>
      </c>
      <c r="Z316" s="260"/>
      <c r="AA316" s="260"/>
      <c r="AB316" s="260">
        <f t="shared" si="522"/>
        <v>0</v>
      </c>
    </row>
    <row r="317" spans="1:189" s="254" customFormat="1" x14ac:dyDescent="0.25">
      <c r="A317" s="267" t="s">
        <v>488</v>
      </c>
      <c r="B317" s="260">
        <f t="shared" si="287"/>
        <v>1287</v>
      </c>
      <c r="C317" s="260">
        <f t="shared" si="287"/>
        <v>0</v>
      </c>
      <c r="D317" s="260">
        <f t="shared" si="287"/>
        <v>-1287</v>
      </c>
      <c r="E317" s="260"/>
      <c r="F317" s="260"/>
      <c r="G317" s="260">
        <f t="shared" si="297"/>
        <v>0</v>
      </c>
      <c r="H317" s="260"/>
      <c r="I317" s="260"/>
      <c r="J317" s="260">
        <f t="shared" si="505"/>
        <v>0</v>
      </c>
      <c r="K317" s="260">
        <v>1287</v>
      </c>
      <c r="L317" s="260">
        <f>1287-1287</f>
        <v>0</v>
      </c>
      <c r="M317" s="260">
        <f t="shared" si="508"/>
        <v>-1287</v>
      </c>
      <c r="N317" s="260"/>
      <c r="O317" s="260"/>
      <c r="P317" s="260">
        <f t="shared" si="511"/>
        <v>0</v>
      </c>
      <c r="Q317" s="260"/>
      <c r="R317" s="260"/>
      <c r="S317" s="260">
        <f t="shared" si="514"/>
        <v>0</v>
      </c>
      <c r="T317" s="260"/>
      <c r="U317" s="260"/>
      <c r="V317" s="260">
        <f t="shared" si="517"/>
        <v>0</v>
      </c>
      <c r="W317" s="260"/>
      <c r="X317" s="260"/>
      <c r="Y317" s="260">
        <f t="shared" si="519"/>
        <v>0</v>
      </c>
      <c r="Z317" s="260"/>
      <c r="AA317" s="260"/>
      <c r="AB317" s="260">
        <f t="shared" si="522"/>
        <v>0</v>
      </c>
    </row>
    <row r="318" spans="1:189" s="254" customFormat="1" ht="78.75" x14ac:dyDescent="0.25">
      <c r="A318" s="264" t="s">
        <v>152</v>
      </c>
      <c r="B318" s="260">
        <f t="shared" ref="B318:D403" si="536">E318+H318+K318+N318+Q318+T318+Z318+W318</f>
        <v>320000</v>
      </c>
      <c r="C318" s="260">
        <f t="shared" si="536"/>
        <v>320000</v>
      </c>
      <c r="D318" s="260">
        <f t="shared" si="536"/>
        <v>0</v>
      </c>
      <c r="E318" s="260"/>
      <c r="F318" s="260"/>
      <c r="G318" s="260">
        <f t="shared" si="297"/>
        <v>0</v>
      </c>
      <c r="H318" s="260"/>
      <c r="I318" s="260"/>
      <c r="J318" s="260">
        <f t="shared" si="505"/>
        <v>0</v>
      </c>
      <c r="K318" s="260"/>
      <c r="L318" s="260"/>
      <c r="M318" s="260">
        <f t="shared" si="508"/>
        <v>0</v>
      </c>
      <c r="N318" s="260">
        <v>320000</v>
      </c>
      <c r="O318" s="260">
        <v>320000</v>
      </c>
      <c r="P318" s="260">
        <f t="shared" si="511"/>
        <v>0</v>
      </c>
      <c r="Q318" s="260"/>
      <c r="R318" s="260"/>
      <c r="S318" s="260">
        <f t="shared" si="514"/>
        <v>0</v>
      </c>
      <c r="T318" s="260"/>
      <c r="U318" s="260"/>
      <c r="V318" s="260">
        <f t="shared" si="517"/>
        <v>0</v>
      </c>
      <c r="W318" s="260"/>
      <c r="X318" s="260"/>
      <c r="Y318" s="260">
        <f t="shared" si="519"/>
        <v>0</v>
      </c>
      <c r="Z318" s="260"/>
      <c r="AA318" s="260"/>
      <c r="AB318" s="260">
        <f t="shared" si="522"/>
        <v>0</v>
      </c>
    </row>
    <row r="319" spans="1:189" s="254" customFormat="1" x14ac:dyDescent="0.25">
      <c r="A319" s="252" t="s">
        <v>110</v>
      </c>
      <c r="B319" s="253">
        <f t="shared" si="536"/>
        <v>107443</v>
      </c>
      <c r="C319" s="253">
        <f t="shared" si="536"/>
        <v>107443</v>
      </c>
      <c r="D319" s="253">
        <f t="shared" si="536"/>
        <v>0</v>
      </c>
      <c r="E319" s="253">
        <f t="shared" ref="E319" si="537">SUM(E320:E322)</f>
        <v>0</v>
      </c>
      <c r="F319" s="253">
        <f t="shared" ref="F319:AA319" si="538">SUM(F320:F322)</f>
        <v>0</v>
      </c>
      <c r="G319" s="253">
        <f t="shared" si="297"/>
        <v>0</v>
      </c>
      <c r="H319" s="253">
        <f t="shared" ref="H319" si="539">SUM(H320:H322)</f>
        <v>0</v>
      </c>
      <c r="I319" s="253">
        <f t="shared" si="538"/>
        <v>0</v>
      </c>
      <c r="J319" s="253">
        <f t="shared" si="505"/>
        <v>0</v>
      </c>
      <c r="K319" s="253">
        <f t="shared" ref="K319" si="540">SUM(K320:K322)</f>
        <v>107443</v>
      </c>
      <c r="L319" s="253">
        <f t="shared" si="538"/>
        <v>107443</v>
      </c>
      <c r="M319" s="253">
        <f t="shared" si="508"/>
        <v>0</v>
      </c>
      <c r="N319" s="253">
        <f t="shared" ref="N319" si="541">SUM(N320:N322)</f>
        <v>0</v>
      </c>
      <c r="O319" s="253">
        <f t="shared" si="538"/>
        <v>0</v>
      </c>
      <c r="P319" s="253">
        <f t="shared" si="511"/>
        <v>0</v>
      </c>
      <c r="Q319" s="253">
        <f t="shared" ref="Q319" si="542">SUM(Q320:Q322)</f>
        <v>0</v>
      </c>
      <c r="R319" s="253">
        <f t="shared" si="538"/>
        <v>0</v>
      </c>
      <c r="S319" s="253">
        <f t="shared" si="514"/>
        <v>0</v>
      </c>
      <c r="T319" s="253">
        <f t="shared" ref="T319" si="543">SUM(T320:T322)</f>
        <v>0</v>
      </c>
      <c r="U319" s="253">
        <f t="shared" si="538"/>
        <v>0</v>
      </c>
      <c r="V319" s="253">
        <f t="shared" si="517"/>
        <v>0</v>
      </c>
      <c r="W319" s="253">
        <f t="shared" ref="W319" si="544">SUM(W320:W322)</f>
        <v>0</v>
      </c>
      <c r="X319" s="253">
        <f t="shared" si="538"/>
        <v>0</v>
      </c>
      <c r="Y319" s="253">
        <f t="shared" si="519"/>
        <v>0</v>
      </c>
      <c r="Z319" s="253">
        <f t="shared" ref="Z319" si="545">SUM(Z320:Z322)</f>
        <v>0</v>
      </c>
      <c r="AA319" s="253">
        <f t="shared" si="538"/>
        <v>0</v>
      </c>
      <c r="AB319" s="253">
        <f t="shared" si="522"/>
        <v>0</v>
      </c>
    </row>
    <row r="320" spans="1:189" s="254" customFormat="1" ht="31.5" x14ac:dyDescent="0.25">
      <c r="A320" s="264" t="s">
        <v>153</v>
      </c>
      <c r="B320" s="260">
        <f t="shared" si="536"/>
        <v>15120</v>
      </c>
      <c r="C320" s="260">
        <f t="shared" si="536"/>
        <v>15120</v>
      </c>
      <c r="D320" s="260">
        <f t="shared" si="536"/>
        <v>0</v>
      </c>
      <c r="E320" s="260"/>
      <c r="F320" s="260"/>
      <c r="G320" s="260">
        <f t="shared" si="297"/>
        <v>0</v>
      </c>
      <c r="H320" s="260"/>
      <c r="I320" s="260"/>
      <c r="J320" s="260">
        <f t="shared" si="505"/>
        <v>0</v>
      </c>
      <c r="K320" s="260">
        <v>15120</v>
      </c>
      <c r="L320" s="260">
        <v>15120</v>
      </c>
      <c r="M320" s="260">
        <f t="shared" si="508"/>
        <v>0</v>
      </c>
      <c r="N320" s="260"/>
      <c r="O320" s="260"/>
      <c r="P320" s="260">
        <f t="shared" si="511"/>
        <v>0</v>
      </c>
      <c r="Q320" s="260"/>
      <c r="R320" s="260"/>
      <c r="S320" s="260">
        <f t="shared" si="514"/>
        <v>0</v>
      </c>
      <c r="T320" s="260"/>
      <c r="U320" s="260"/>
      <c r="V320" s="260">
        <f t="shared" si="517"/>
        <v>0</v>
      </c>
      <c r="W320" s="260"/>
      <c r="X320" s="260"/>
      <c r="Y320" s="260">
        <f t="shared" si="519"/>
        <v>0</v>
      </c>
      <c r="Z320" s="260"/>
      <c r="AA320" s="260"/>
      <c r="AB320" s="260">
        <f t="shared" si="522"/>
        <v>0</v>
      </c>
    </row>
    <row r="321" spans="1:28" s="254" customFormat="1" ht="31.5" x14ac:dyDescent="0.25">
      <c r="A321" s="264" t="s">
        <v>234</v>
      </c>
      <c r="B321" s="260">
        <f t="shared" si="536"/>
        <v>71323</v>
      </c>
      <c r="C321" s="260">
        <f t="shared" si="536"/>
        <v>71323</v>
      </c>
      <c r="D321" s="260">
        <f t="shared" si="536"/>
        <v>0</v>
      </c>
      <c r="E321" s="260"/>
      <c r="F321" s="260"/>
      <c r="G321" s="260">
        <f t="shared" si="297"/>
        <v>0</v>
      </c>
      <c r="H321" s="260"/>
      <c r="I321" s="260"/>
      <c r="J321" s="260">
        <f t="shared" si="505"/>
        <v>0</v>
      </c>
      <c r="K321" s="260">
        <v>71323</v>
      </c>
      <c r="L321" s="260">
        <v>71323</v>
      </c>
      <c r="M321" s="260">
        <f t="shared" si="508"/>
        <v>0</v>
      </c>
      <c r="N321" s="260"/>
      <c r="O321" s="260"/>
      <c r="P321" s="260">
        <f t="shared" si="511"/>
        <v>0</v>
      </c>
      <c r="Q321" s="260"/>
      <c r="R321" s="260"/>
      <c r="S321" s="260">
        <f t="shared" si="514"/>
        <v>0</v>
      </c>
      <c r="T321" s="260"/>
      <c r="U321" s="260"/>
      <c r="V321" s="260">
        <f t="shared" si="517"/>
        <v>0</v>
      </c>
      <c r="W321" s="260"/>
      <c r="X321" s="260"/>
      <c r="Y321" s="260">
        <f t="shared" si="519"/>
        <v>0</v>
      </c>
      <c r="Z321" s="260"/>
      <c r="AA321" s="260"/>
      <c r="AB321" s="260">
        <f t="shared" si="522"/>
        <v>0</v>
      </c>
    </row>
    <row r="322" spans="1:28" s="254" customFormat="1" x14ac:dyDescent="0.25">
      <c r="A322" s="264" t="s">
        <v>154</v>
      </c>
      <c r="B322" s="260">
        <f t="shared" si="536"/>
        <v>21000</v>
      </c>
      <c r="C322" s="260">
        <f t="shared" si="536"/>
        <v>21000</v>
      </c>
      <c r="D322" s="260">
        <f t="shared" si="536"/>
        <v>0</v>
      </c>
      <c r="E322" s="260"/>
      <c r="F322" s="260"/>
      <c r="G322" s="260">
        <f t="shared" si="297"/>
        <v>0</v>
      </c>
      <c r="H322" s="260"/>
      <c r="I322" s="260"/>
      <c r="J322" s="260">
        <f t="shared" si="505"/>
        <v>0</v>
      </c>
      <c r="K322" s="260">
        <v>21000</v>
      </c>
      <c r="L322" s="260">
        <v>21000</v>
      </c>
      <c r="M322" s="260">
        <f t="shared" si="508"/>
        <v>0</v>
      </c>
      <c r="N322" s="260"/>
      <c r="O322" s="260"/>
      <c r="P322" s="260">
        <f t="shared" si="511"/>
        <v>0</v>
      </c>
      <c r="Q322" s="260"/>
      <c r="R322" s="260"/>
      <c r="S322" s="260">
        <f t="shared" si="514"/>
        <v>0</v>
      </c>
      <c r="T322" s="260"/>
      <c r="U322" s="260"/>
      <c r="V322" s="260">
        <f t="shared" si="517"/>
        <v>0</v>
      </c>
      <c r="W322" s="260"/>
      <c r="X322" s="260"/>
      <c r="Y322" s="260">
        <f t="shared" si="519"/>
        <v>0</v>
      </c>
      <c r="Z322" s="260"/>
      <c r="AA322" s="260"/>
      <c r="AB322" s="260">
        <f t="shared" si="522"/>
        <v>0</v>
      </c>
    </row>
    <row r="323" spans="1:28" s="254" customFormat="1" x14ac:dyDescent="0.25">
      <c r="A323" s="252" t="s">
        <v>123</v>
      </c>
      <c r="B323" s="253">
        <f t="shared" si="536"/>
        <v>22174</v>
      </c>
      <c r="C323" s="253">
        <f t="shared" si="536"/>
        <v>22174</v>
      </c>
      <c r="D323" s="253">
        <f t="shared" si="536"/>
        <v>0</v>
      </c>
      <c r="E323" s="253">
        <f>SUM(E324:E328)</f>
        <v>0</v>
      </c>
      <c r="F323" s="253">
        <f>SUM(F324:F328)</f>
        <v>0</v>
      </c>
      <c r="G323" s="253">
        <f t="shared" si="297"/>
        <v>0</v>
      </c>
      <c r="H323" s="253">
        <f t="shared" ref="H323" si="546">SUM(H324:H328)</f>
        <v>0</v>
      </c>
      <c r="I323" s="253">
        <f t="shared" ref="I323" si="547">SUM(I324:I328)</f>
        <v>0</v>
      </c>
      <c r="J323" s="253">
        <f t="shared" si="505"/>
        <v>0</v>
      </c>
      <c r="K323" s="253">
        <f t="shared" ref="K323" si="548">SUM(K324:K328)</f>
        <v>22174</v>
      </c>
      <c r="L323" s="253">
        <f t="shared" ref="L323" si="549">SUM(L324:L328)</f>
        <v>22174</v>
      </c>
      <c r="M323" s="253">
        <f t="shared" si="508"/>
        <v>0</v>
      </c>
      <c r="N323" s="253">
        <f t="shared" ref="N323" si="550">SUM(N324:N328)</f>
        <v>0</v>
      </c>
      <c r="O323" s="253">
        <f t="shared" ref="O323" si="551">SUM(O324:O328)</f>
        <v>0</v>
      </c>
      <c r="P323" s="253">
        <f t="shared" si="511"/>
        <v>0</v>
      </c>
      <c r="Q323" s="253">
        <f t="shared" ref="Q323" si="552">SUM(Q324:Q328)</f>
        <v>0</v>
      </c>
      <c r="R323" s="253">
        <f t="shared" ref="R323" si="553">SUM(R324:R328)</f>
        <v>0</v>
      </c>
      <c r="S323" s="253">
        <f t="shared" si="514"/>
        <v>0</v>
      </c>
      <c r="T323" s="253">
        <f t="shared" ref="T323" si="554">SUM(T324:T328)</f>
        <v>0</v>
      </c>
      <c r="U323" s="253">
        <f t="shared" ref="U323" si="555">SUM(U324:U328)</f>
        <v>0</v>
      </c>
      <c r="V323" s="253">
        <f t="shared" si="517"/>
        <v>0</v>
      </c>
      <c r="W323" s="253">
        <f t="shared" ref="W323:X323" si="556">SUM(W324:W328)</f>
        <v>0</v>
      </c>
      <c r="X323" s="253">
        <f t="shared" si="556"/>
        <v>0</v>
      </c>
      <c r="Y323" s="253">
        <f t="shared" si="519"/>
        <v>0</v>
      </c>
      <c r="Z323" s="253">
        <f t="shared" ref="Z323" si="557">SUM(Z324:Z328)</f>
        <v>0</v>
      </c>
      <c r="AA323" s="253">
        <f t="shared" ref="AA323" si="558">SUM(AA324:AA328)</f>
        <v>0</v>
      </c>
      <c r="AB323" s="253">
        <f t="shared" si="522"/>
        <v>0</v>
      </c>
    </row>
    <row r="324" spans="1:28" s="254" customFormat="1" ht="31.5" x14ac:dyDescent="0.25">
      <c r="A324" s="264" t="s">
        <v>155</v>
      </c>
      <c r="B324" s="260">
        <f t="shared" si="536"/>
        <v>2400</v>
      </c>
      <c r="C324" s="260">
        <f t="shared" si="536"/>
        <v>2400</v>
      </c>
      <c r="D324" s="260">
        <f t="shared" si="536"/>
        <v>0</v>
      </c>
      <c r="E324" s="260"/>
      <c r="F324" s="260"/>
      <c r="G324" s="260">
        <f t="shared" si="297"/>
        <v>0</v>
      </c>
      <c r="H324" s="260"/>
      <c r="I324" s="260"/>
      <c r="J324" s="260">
        <f t="shared" si="505"/>
        <v>0</v>
      </c>
      <c r="K324" s="260">
        <v>2400</v>
      </c>
      <c r="L324" s="260">
        <v>2400</v>
      </c>
      <c r="M324" s="260">
        <f t="shared" si="508"/>
        <v>0</v>
      </c>
      <c r="N324" s="260"/>
      <c r="O324" s="260"/>
      <c r="P324" s="260">
        <f t="shared" si="511"/>
        <v>0</v>
      </c>
      <c r="Q324" s="260"/>
      <c r="R324" s="260"/>
      <c r="S324" s="260">
        <f t="shared" si="514"/>
        <v>0</v>
      </c>
      <c r="T324" s="260"/>
      <c r="U324" s="260"/>
      <c r="V324" s="260">
        <f t="shared" si="517"/>
        <v>0</v>
      </c>
      <c r="W324" s="260"/>
      <c r="X324" s="260"/>
      <c r="Y324" s="260">
        <f t="shared" si="519"/>
        <v>0</v>
      </c>
      <c r="Z324" s="260"/>
      <c r="AA324" s="260"/>
      <c r="AB324" s="260">
        <f t="shared" si="522"/>
        <v>0</v>
      </c>
    </row>
    <row r="325" spans="1:28" s="254" customFormat="1" x14ac:dyDescent="0.25">
      <c r="A325" s="264" t="s">
        <v>445</v>
      </c>
      <c r="B325" s="260">
        <f t="shared" si="536"/>
        <v>0</v>
      </c>
      <c r="C325" s="260">
        <f t="shared" si="536"/>
        <v>0</v>
      </c>
      <c r="D325" s="260">
        <f t="shared" si="536"/>
        <v>0</v>
      </c>
      <c r="E325" s="260"/>
      <c r="F325" s="260"/>
      <c r="G325" s="260">
        <f t="shared" si="297"/>
        <v>0</v>
      </c>
      <c r="H325" s="260"/>
      <c r="I325" s="260"/>
      <c r="J325" s="260">
        <f t="shared" si="505"/>
        <v>0</v>
      </c>
      <c r="K325" s="260">
        <f>1185-1185</f>
        <v>0</v>
      </c>
      <c r="L325" s="260">
        <f>1185-1185</f>
        <v>0</v>
      </c>
      <c r="M325" s="260">
        <f t="shared" si="508"/>
        <v>0</v>
      </c>
      <c r="N325" s="260"/>
      <c r="O325" s="260"/>
      <c r="P325" s="260">
        <f t="shared" si="511"/>
        <v>0</v>
      </c>
      <c r="Q325" s="260"/>
      <c r="R325" s="260"/>
      <c r="S325" s="260">
        <f t="shared" si="514"/>
        <v>0</v>
      </c>
      <c r="T325" s="260"/>
      <c r="U325" s="260"/>
      <c r="V325" s="260">
        <f t="shared" si="517"/>
        <v>0</v>
      </c>
      <c r="W325" s="260"/>
      <c r="X325" s="260"/>
      <c r="Y325" s="260">
        <f t="shared" si="519"/>
        <v>0</v>
      </c>
      <c r="Z325" s="260"/>
      <c r="AA325" s="260"/>
      <c r="AB325" s="260">
        <f t="shared" si="522"/>
        <v>0</v>
      </c>
    </row>
    <row r="326" spans="1:28" s="254" customFormat="1" ht="31.5" x14ac:dyDescent="0.25">
      <c r="A326" s="264" t="s">
        <v>513</v>
      </c>
      <c r="B326" s="260">
        <f t="shared" si="536"/>
        <v>9933</v>
      </c>
      <c r="C326" s="260">
        <f t="shared" si="536"/>
        <v>9933</v>
      </c>
      <c r="D326" s="260">
        <f t="shared" si="536"/>
        <v>0</v>
      </c>
      <c r="E326" s="260"/>
      <c r="F326" s="260"/>
      <c r="G326" s="260">
        <f t="shared" si="297"/>
        <v>0</v>
      </c>
      <c r="H326" s="260"/>
      <c r="I326" s="260"/>
      <c r="J326" s="260">
        <f t="shared" si="505"/>
        <v>0</v>
      </c>
      <c r="K326" s="260">
        <v>9933</v>
      </c>
      <c r="L326" s="260">
        <v>9933</v>
      </c>
      <c r="M326" s="260">
        <f t="shared" si="508"/>
        <v>0</v>
      </c>
      <c r="N326" s="260"/>
      <c r="O326" s="260"/>
      <c r="P326" s="260">
        <f t="shared" si="511"/>
        <v>0</v>
      </c>
      <c r="Q326" s="260"/>
      <c r="R326" s="260"/>
      <c r="S326" s="260">
        <f t="shared" si="514"/>
        <v>0</v>
      </c>
      <c r="T326" s="260"/>
      <c r="U326" s="260"/>
      <c r="V326" s="260">
        <f t="shared" si="517"/>
        <v>0</v>
      </c>
      <c r="W326" s="260"/>
      <c r="X326" s="260"/>
      <c r="Y326" s="260">
        <f t="shared" si="519"/>
        <v>0</v>
      </c>
      <c r="Z326" s="260"/>
      <c r="AA326" s="260"/>
      <c r="AB326" s="260">
        <f t="shared" si="522"/>
        <v>0</v>
      </c>
    </row>
    <row r="327" spans="1:28" s="254" customFormat="1" ht="31.5" x14ac:dyDescent="0.25">
      <c r="A327" s="264" t="s">
        <v>423</v>
      </c>
      <c r="B327" s="260">
        <f t="shared" si="536"/>
        <v>1430</v>
      </c>
      <c r="C327" s="260">
        <f t="shared" si="536"/>
        <v>1430</v>
      </c>
      <c r="D327" s="260">
        <f t="shared" si="536"/>
        <v>0</v>
      </c>
      <c r="E327" s="260"/>
      <c r="F327" s="260"/>
      <c r="G327" s="260">
        <f t="shared" si="297"/>
        <v>0</v>
      </c>
      <c r="H327" s="260"/>
      <c r="I327" s="260"/>
      <c r="J327" s="260">
        <f t="shared" si="505"/>
        <v>0</v>
      </c>
      <c r="K327" s="260">
        <v>1430</v>
      </c>
      <c r="L327" s="260">
        <v>1430</v>
      </c>
      <c r="M327" s="260">
        <f t="shared" si="508"/>
        <v>0</v>
      </c>
      <c r="N327" s="260"/>
      <c r="O327" s="260"/>
      <c r="P327" s="260">
        <f t="shared" si="511"/>
        <v>0</v>
      </c>
      <c r="Q327" s="260"/>
      <c r="R327" s="260"/>
      <c r="S327" s="260">
        <f t="shared" si="514"/>
        <v>0</v>
      </c>
      <c r="T327" s="260"/>
      <c r="U327" s="260"/>
      <c r="V327" s="260">
        <f t="shared" si="517"/>
        <v>0</v>
      </c>
      <c r="W327" s="260"/>
      <c r="X327" s="260"/>
      <c r="Y327" s="260">
        <f t="shared" si="519"/>
        <v>0</v>
      </c>
      <c r="Z327" s="260"/>
      <c r="AA327" s="260"/>
      <c r="AB327" s="260">
        <f t="shared" si="522"/>
        <v>0</v>
      </c>
    </row>
    <row r="328" spans="1:28" s="254" customFormat="1" ht="47.25" x14ac:dyDescent="0.25">
      <c r="A328" s="264" t="s">
        <v>156</v>
      </c>
      <c r="B328" s="260">
        <f t="shared" si="536"/>
        <v>8411</v>
      </c>
      <c r="C328" s="260">
        <f t="shared" si="536"/>
        <v>8411</v>
      </c>
      <c r="D328" s="260">
        <f t="shared" si="536"/>
        <v>0</v>
      </c>
      <c r="E328" s="260"/>
      <c r="F328" s="260"/>
      <c r="G328" s="260">
        <f t="shared" si="297"/>
        <v>0</v>
      </c>
      <c r="H328" s="260"/>
      <c r="I328" s="260"/>
      <c r="J328" s="260">
        <f t="shared" si="505"/>
        <v>0</v>
      </c>
      <c r="K328" s="260">
        <v>8411</v>
      </c>
      <c r="L328" s="260">
        <v>8411</v>
      </c>
      <c r="M328" s="260">
        <f t="shared" si="508"/>
        <v>0</v>
      </c>
      <c r="N328" s="260"/>
      <c r="O328" s="260"/>
      <c r="P328" s="260">
        <f t="shared" si="511"/>
        <v>0</v>
      </c>
      <c r="Q328" s="260"/>
      <c r="R328" s="260"/>
      <c r="S328" s="260">
        <f t="shared" si="514"/>
        <v>0</v>
      </c>
      <c r="T328" s="260"/>
      <c r="U328" s="260"/>
      <c r="V328" s="260">
        <f t="shared" si="517"/>
        <v>0</v>
      </c>
      <c r="W328" s="260"/>
      <c r="X328" s="260"/>
      <c r="Y328" s="260">
        <f t="shared" si="519"/>
        <v>0</v>
      </c>
      <c r="Z328" s="260"/>
      <c r="AA328" s="260"/>
      <c r="AB328" s="260">
        <f t="shared" si="522"/>
        <v>0</v>
      </c>
    </row>
    <row r="329" spans="1:28" s="254" customFormat="1" x14ac:dyDescent="0.25">
      <c r="A329" s="252" t="s">
        <v>113</v>
      </c>
      <c r="B329" s="253">
        <f t="shared" si="536"/>
        <v>6059585</v>
      </c>
      <c r="C329" s="253">
        <f t="shared" si="536"/>
        <v>6059585</v>
      </c>
      <c r="D329" s="253">
        <f t="shared" si="536"/>
        <v>0</v>
      </c>
      <c r="E329" s="253">
        <f>SUM(E330:E346)</f>
        <v>360914</v>
      </c>
      <c r="F329" s="253">
        <f>SUM(F330:F346)</f>
        <v>247426</v>
      </c>
      <c r="G329" s="253">
        <f t="shared" si="297"/>
        <v>-113488</v>
      </c>
      <c r="H329" s="253">
        <f t="shared" ref="H329" si="559">SUM(H330:H346)</f>
        <v>270323</v>
      </c>
      <c r="I329" s="253">
        <f t="shared" ref="I329" si="560">SUM(I330:I346)</f>
        <v>339029</v>
      </c>
      <c r="J329" s="253">
        <f t="shared" si="505"/>
        <v>68706</v>
      </c>
      <c r="K329" s="253">
        <f t="shared" ref="K329" si="561">SUM(K330:K346)</f>
        <v>144407</v>
      </c>
      <c r="L329" s="253">
        <f t="shared" ref="L329" si="562">SUM(L330:L346)</f>
        <v>189189</v>
      </c>
      <c r="M329" s="253">
        <f t="shared" si="508"/>
        <v>44782</v>
      </c>
      <c r="N329" s="253">
        <f t="shared" ref="N329" si="563">SUM(N330:N346)</f>
        <v>1091336</v>
      </c>
      <c r="O329" s="253">
        <f t="shared" ref="O329" si="564">SUM(O330:O346)</f>
        <v>1091336</v>
      </c>
      <c r="P329" s="253">
        <f t="shared" si="511"/>
        <v>0</v>
      </c>
      <c r="Q329" s="253">
        <f t="shared" ref="Q329" si="565">SUM(Q330:Q346)</f>
        <v>0</v>
      </c>
      <c r="R329" s="253">
        <f t="shared" ref="R329" si="566">SUM(R330:R346)</f>
        <v>0</v>
      </c>
      <c r="S329" s="253">
        <f t="shared" si="514"/>
        <v>0</v>
      </c>
      <c r="T329" s="253">
        <f t="shared" ref="T329" si="567">SUM(T330:T346)</f>
        <v>3672605</v>
      </c>
      <c r="U329" s="253">
        <f t="shared" ref="U329" si="568">SUM(U330:U346)</f>
        <v>3672605</v>
      </c>
      <c r="V329" s="253">
        <f t="shared" si="517"/>
        <v>0</v>
      </c>
      <c r="W329" s="253">
        <f t="shared" ref="W329:X329" si="569">SUM(W330:W346)</f>
        <v>10000</v>
      </c>
      <c r="X329" s="253">
        <f t="shared" si="569"/>
        <v>10000</v>
      </c>
      <c r="Y329" s="253">
        <f t="shared" si="519"/>
        <v>0</v>
      </c>
      <c r="Z329" s="253">
        <f t="shared" ref="Z329" si="570">SUM(Z330:Z346)</f>
        <v>510000</v>
      </c>
      <c r="AA329" s="253">
        <f t="shared" ref="AA329" si="571">SUM(AA330:AA346)</f>
        <v>510000</v>
      </c>
      <c r="AB329" s="253">
        <f t="shared" si="522"/>
        <v>0</v>
      </c>
    </row>
    <row r="330" spans="1:28" s="254" customFormat="1" ht="31.5" x14ac:dyDescent="0.25">
      <c r="A330" s="264" t="s">
        <v>489</v>
      </c>
      <c r="B330" s="260">
        <f t="shared" si="536"/>
        <v>24685</v>
      </c>
      <c r="C330" s="260">
        <f t="shared" si="536"/>
        <v>24685</v>
      </c>
      <c r="D330" s="260">
        <f t="shared" si="536"/>
        <v>0</v>
      </c>
      <c r="E330" s="260">
        <v>24685</v>
      </c>
      <c r="F330" s="260">
        <v>24685</v>
      </c>
      <c r="G330" s="260">
        <f t="shared" si="297"/>
        <v>0</v>
      </c>
      <c r="H330" s="260"/>
      <c r="I330" s="260"/>
      <c r="J330" s="260">
        <f t="shared" si="505"/>
        <v>0</v>
      </c>
      <c r="K330" s="260"/>
      <c r="L330" s="260"/>
      <c r="M330" s="260">
        <f t="shared" si="508"/>
        <v>0</v>
      </c>
      <c r="N330" s="260"/>
      <c r="O330" s="260"/>
      <c r="P330" s="260">
        <f t="shared" si="511"/>
        <v>0</v>
      </c>
      <c r="Q330" s="260"/>
      <c r="R330" s="260"/>
      <c r="S330" s="260">
        <f t="shared" si="514"/>
        <v>0</v>
      </c>
      <c r="T330" s="260"/>
      <c r="U330" s="260"/>
      <c r="V330" s="260">
        <f t="shared" si="517"/>
        <v>0</v>
      </c>
      <c r="W330" s="260"/>
      <c r="X330" s="260"/>
      <c r="Y330" s="260">
        <f t="shared" si="519"/>
        <v>0</v>
      </c>
      <c r="Z330" s="260"/>
      <c r="AA330" s="260"/>
      <c r="AB330" s="260">
        <f t="shared" si="522"/>
        <v>0</v>
      </c>
    </row>
    <row r="331" spans="1:28" s="254" customFormat="1" ht="31.5" x14ac:dyDescent="0.25">
      <c r="A331" s="264" t="s">
        <v>490</v>
      </c>
      <c r="B331" s="260">
        <f t="shared" si="536"/>
        <v>22398</v>
      </c>
      <c r="C331" s="260">
        <f t="shared" si="536"/>
        <v>22398</v>
      </c>
      <c r="D331" s="260">
        <f t="shared" si="536"/>
        <v>0</v>
      </c>
      <c r="E331" s="260">
        <v>10315</v>
      </c>
      <c r="F331" s="260">
        <v>10315</v>
      </c>
      <c r="G331" s="260">
        <f t="shared" si="297"/>
        <v>0</v>
      </c>
      <c r="H331" s="260"/>
      <c r="I331" s="260"/>
      <c r="J331" s="260">
        <f t="shared" si="505"/>
        <v>0</v>
      </c>
      <c r="K331" s="260">
        <v>12083</v>
      </c>
      <c r="L331" s="260">
        <v>12083</v>
      </c>
      <c r="M331" s="260">
        <f t="shared" si="508"/>
        <v>0</v>
      </c>
      <c r="N331" s="260"/>
      <c r="O331" s="260"/>
      <c r="P331" s="260">
        <f t="shared" si="511"/>
        <v>0</v>
      </c>
      <c r="Q331" s="260"/>
      <c r="R331" s="260"/>
      <c r="S331" s="260">
        <f t="shared" si="514"/>
        <v>0</v>
      </c>
      <c r="T331" s="260"/>
      <c r="U331" s="260"/>
      <c r="V331" s="260">
        <f t="shared" si="517"/>
        <v>0</v>
      </c>
      <c r="W331" s="260"/>
      <c r="X331" s="260"/>
      <c r="Y331" s="260">
        <f t="shared" si="519"/>
        <v>0</v>
      </c>
      <c r="Z331" s="260"/>
      <c r="AA331" s="260"/>
      <c r="AB331" s="260">
        <f t="shared" si="522"/>
        <v>0</v>
      </c>
    </row>
    <row r="332" spans="1:28" s="254" customFormat="1" ht="31.5" x14ac:dyDescent="0.25">
      <c r="A332" s="267" t="s">
        <v>453</v>
      </c>
      <c r="B332" s="260">
        <f t="shared" si="536"/>
        <v>11265</v>
      </c>
      <c r="C332" s="260">
        <f t="shared" si="536"/>
        <v>11265</v>
      </c>
      <c r="D332" s="260">
        <f t="shared" si="536"/>
        <v>0</v>
      </c>
      <c r="E332" s="260"/>
      <c r="F332" s="260"/>
      <c r="G332" s="260">
        <f>F332-E332</f>
        <v>0</v>
      </c>
      <c r="H332" s="260"/>
      <c r="I332" s="260"/>
      <c r="J332" s="260">
        <f>I332-H332</f>
        <v>0</v>
      </c>
      <c r="K332" s="260">
        <f>5000+1265</f>
        <v>6265</v>
      </c>
      <c r="L332" s="260">
        <f>5000+1265</f>
        <v>6265</v>
      </c>
      <c r="M332" s="260">
        <f>L332-K332</f>
        <v>0</v>
      </c>
      <c r="N332" s="260"/>
      <c r="O332" s="260"/>
      <c r="P332" s="260">
        <f>O332-N332</f>
        <v>0</v>
      </c>
      <c r="Q332" s="260"/>
      <c r="R332" s="260"/>
      <c r="S332" s="260">
        <f>R332-Q332</f>
        <v>0</v>
      </c>
      <c r="T332" s="260"/>
      <c r="U332" s="260"/>
      <c r="V332" s="260">
        <f>U332-T332</f>
        <v>0</v>
      </c>
      <c r="W332" s="260">
        <v>5000</v>
      </c>
      <c r="X332" s="260">
        <v>5000</v>
      </c>
      <c r="Y332" s="260">
        <f>X332-W332</f>
        <v>0</v>
      </c>
      <c r="Z332" s="260"/>
      <c r="AA332" s="260"/>
      <c r="AB332" s="260">
        <f>AA332-Z332</f>
        <v>0</v>
      </c>
    </row>
    <row r="333" spans="1:28" s="254" customFormat="1" x14ac:dyDescent="0.25">
      <c r="A333" s="259" t="s">
        <v>157</v>
      </c>
      <c r="B333" s="260">
        <f t="shared" si="536"/>
        <v>70000</v>
      </c>
      <c r="C333" s="260">
        <f t="shared" si="536"/>
        <v>70000</v>
      </c>
      <c r="D333" s="260">
        <f t="shared" si="536"/>
        <v>0</v>
      </c>
      <c r="E333" s="260">
        <v>7738</v>
      </c>
      <c r="F333" s="260">
        <v>7738</v>
      </c>
      <c r="G333" s="260">
        <f t="shared" si="297"/>
        <v>0</v>
      </c>
      <c r="H333" s="260">
        <v>62262</v>
      </c>
      <c r="I333" s="260">
        <v>62262</v>
      </c>
      <c r="J333" s="260">
        <f t="shared" si="505"/>
        <v>0</v>
      </c>
      <c r="K333" s="260"/>
      <c r="L333" s="260"/>
      <c r="M333" s="260">
        <f t="shared" si="508"/>
        <v>0</v>
      </c>
      <c r="N333" s="260"/>
      <c r="O333" s="260"/>
      <c r="P333" s="260">
        <f t="shared" si="511"/>
        <v>0</v>
      </c>
      <c r="Q333" s="260"/>
      <c r="R333" s="260"/>
      <c r="S333" s="260">
        <f t="shared" si="514"/>
        <v>0</v>
      </c>
      <c r="T333" s="260"/>
      <c r="U333" s="260"/>
      <c r="V333" s="260">
        <f t="shared" si="517"/>
        <v>0</v>
      </c>
      <c r="W333" s="260"/>
      <c r="X333" s="260"/>
      <c r="Y333" s="260">
        <f t="shared" si="519"/>
        <v>0</v>
      </c>
      <c r="Z333" s="260"/>
      <c r="AA333" s="260"/>
      <c r="AB333" s="260">
        <f t="shared" si="522"/>
        <v>0</v>
      </c>
    </row>
    <row r="334" spans="1:28" s="254" customFormat="1" ht="110.25" x14ac:dyDescent="0.25">
      <c r="A334" s="256" t="s">
        <v>158</v>
      </c>
      <c r="B334" s="260">
        <f t="shared" si="536"/>
        <v>49792</v>
      </c>
      <c r="C334" s="260">
        <f t="shared" si="536"/>
        <v>49792</v>
      </c>
      <c r="D334" s="260">
        <f t="shared" si="536"/>
        <v>0</v>
      </c>
      <c r="E334" s="260"/>
      <c r="F334" s="260"/>
      <c r="G334" s="260">
        <f t="shared" si="297"/>
        <v>0</v>
      </c>
      <c r="H334" s="260"/>
      <c r="I334" s="260"/>
      <c r="J334" s="260">
        <f t="shared" si="505"/>
        <v>0</v>
      </c>
      <c r="K334" s="260"/>
      <c r="L334" s="260"/>
      <c r="M334" s="260">
        <f t="shared" si="508"/>
        <v>0</v>
      </c>
      <c r="N334" s="260"/>
      <c r="O334" s="260"/>
      <c r="P334" s="260">
        <f t="shared" si="511"/>
        <v>0</v>
      </c>
      <c r="Q334" s="260"/>
      <c r="R334" s="260"/>
      <c r="S334" s="260">
        <f t="shared" si="514"/>
        <v>0</v>
      </c>
      <c r="T334" s="260">
        <v>49792</v>
      </c>
      <c r="U334" s="260">
        <v>49792</v>
      </c>
      <c r="V334" s="260">
        <f t="shared" si="517"/>
        <v>0</v>
      </c>
      <c r="W334" s="260"/>
      <c r="X334" s="260"/>
      <c r="Y334" s="260">
        <f t="shared" si="519"/>
        <v>0</v>
      </c>
      <c r="Z334" s="260"/>
      <c r="AA334" s="260"/>
      <c r="AB334" s="260">
        <f t="shared" si="522"/>
        <v>0</v>
      </c>
    </row>
    <row r="335" spans="1:28" s="254" customFormat="1" ht="47.25" x14ac:dyDescent="0.25">
      <c r="A335" s="256" t="s">
        <v>159</v>
      </c>
      <c r="B335" s="260">
        <f t="shared" si="536"/>
        <v>18646</v>
      </c>
      <c r="C335" s="260">
        <f t="shared" si="536"/>
        <v>18646</v>
      </c>
      <c r="D335" s="260">
        <f t="shared" si="536"/>
        <v>0</v>
      </c>
      <c r="E335" s="260">
        <v>15000</v>
      </c>
      <c r="F335" s="260">
        <v>15000</v>
      </c>
      <c r="G335" s="260">
        <f t="shared" si="297"/>
        <v>0</v>
      </c>
      <c r="H335" s="260"/>
      <c r="I335" s="260"/>
      <c r="J335" s="260">
        <f t="shared" si="505"/>
        <v>0</v>
      </c>
      <c r="K335" s="260">
        <f>15000-15000</f>
        <v>0</v>
      </c>
      <c r="L335" s="260">
        <f>15000-15000</f>
        <v>0</v>
      </c>
      <c r="M335" s="260">
        <f t="shared" si="508"/>
        <v>0</v>
      </c>
      <c r="N335" s="260"/>
      <c r="O335" s="260"/>
      <c r="P335" s="260">
        <f t="shared" si="511"/>
        <v>0</v>
      </c>
      <c r="Q335" s="260"/>
      <c r="R335" s="260"/>
      <c r="S335" s="260">
        <f t="shared" si="514"/>
        <v>0</v>
      </c>
      <c r="T335" s="260">
        <v>3646</v>
      </c>
      <c r="U335" s="260">
        <v>3646</v>
      </c>
      <c r="V335" s="260">
        <f t="shared" si="517"/>
        <v>0</v>
      </c>
      <c r="W335" s="260"/>
      <c r="X335" s="260"/>
      <c r="Y335" s="260">
        <f t="shared" si="519"/>
        <v>0</v>
      </c>
      <c r="Z335" s="260"/>
      <c r="AA335" s="260"/>
      <c r="AB335" s="260">
        <f t="shared" si="522"/>
        <v>0</v>
      </c>
    </row>
    <row r="336" spans="1:28" s="254" customFormat="1" ht="110.25" x14ac:dyDescent="0.25">
      <c r="A336" s="256" t="s">
        <v>160</v>
      </c>
      <c r="B336" s="260">
        <f t="shared" si="536"/>
        <v>3539431</v>
      </c>
      <c r="C336" s="260">
        <f t="shared" si="536"/>
        <v>3539431</v>
      </c>
      <c r="D336" s="260">
        <f t="shared" si="536"/>
        <v>0</v>
      </c>
      <c r="E336" s="260"/>
      <c r="F336" s="260"/>
      <c r="G336" s="260">
        <f t="shared" si="297"/>
        <v>0</v>
      </c>
      <c r="H336" s="260"/>
      <c r="I336" s="260"/>
      <c r="J336" s="260">
        <f t="shared" si="505"/>
        <v>0</v>
      </c>
      <c r="K336" s="260"/>
      <c r="L336" s="260"/>
      <c r="M336" s="260">
        <f t="shared" si="508"/>
        <v>0</v>
      </c>
      <c r="N336" s="260"/>
      <c r="O336" s="260"/>
      <c r="P336" s="260">
        <f t="shared" si="511"/>
        <v>0</v>
      </c>
      <c r="Q336" s="260"/>
      <c r="R336" s="260"/>
      <c r="S336" s="260">
        <f t="shared" si="514"/>
        <v>0</v>
      </c>
      <c r="T336" s="260">
        <f>3503649+35782</f>
        <v>3539431</v>
      </c>
      <c r="U336" s="260">
        <f>3503649+35782</f>
        <v>3539431</v>
      </c>
      <c r="V336" s="260">
        <f t="shared" si="517"/>
        <v>0</v>
      </c>
      <c r="W336" s="260"/>
      <c r="X336" s="260"/>
      <c r="Y336" s="260">
        <f t="shared" si="519"/>
        <v>0</v>
      </c>
      <c r="Z336" s="260"/>
      <c r="AA336" s="260"/>
      <c r="AB336" s="260">
        <f t="shared" si="522"/>
        <v>0</v>
      </c>
    </row>
    <row r="337" spans="1:189" s="254" customFormat="1" ht="110.25" x14ac:dyDescent="0.25">
      <c r="A337" s="256" t="s">
        <v>161</v>
      </c>
      <c r="B337" s="260">
        <f t="shared" si="536"/>
        <v>570017</v>
      </c>
      <c r="C337" s="260">
        <f t="shared" si="536"/>
        <v>570017</v>
      </c>
      <c r="D337" s="260">
        <f t="shared" si="536"/>
        <v>0</v>
      </c>
      <c r="E337" s="260">
        <v>0</v>
      </c>
      <c r="F337" s="260">
        <v>0</v>
      </c>
      <c r="G337" s="260">
        <f t="shared" ref="G337:G417" si="572">F337-E337</f>
        <v>0</v>
      </c>
      <c r="H337" s="260">
        <v>60017</v>
      </c>
      <c r="I337" s="260">
        <v>60017</v>
      </c>
      <c r="J337" s="260">
        <f t="shared" si="505"/>
        <v>0</v>
      </c>
      <c r="K337" s="260"/>
      <c r="L337" s="260"/>
      <c r="M337" s="260">
        <f t="shared" si="508"/>
        <v>0</v>
      </c>
      <c r="N337" s="260"/>
      <c r="O337" s="260"/>
      <c r="P337" s="260">
        <f t="shared" si="511"/>
        <v>0</v>
      </c>
      <c r="Q337" s="260"/>
      <c r="R337" s="260"/>
      <c r="S337" s="260">
        <f t="shared" si="514"/>
        <v>0</v>
      </c>
      <c r="T337" s="260"/>
      <c r="U337" s="260"/>
      <c r="V337" s="260">
        <f t="shared" si="517"/>
        <v>0</v>
      </c>
      <c r="W337" s="260"/>
      <c r="X337" s="260"/>
      <c r="Y337" s="260">
        <f t="shared" si="519"/>
        <v>0</v>
      </c>
      <c r="Z337" s="260">
        <f>250000+83000+177000</f>
        <v>510000</v>
      </c>
      <c r="AA337" s="260">
        <f>250000+83000+177000</f>
        <v>510000</v>
      </c>
      <c r="AB337" s="260">
        <f t="shared" si="522"/>
        <v>0</v>
      </c>
    </row>
    <row r="338" spans="1:189" s="254" customFormat="1" ht="31.5" x14ac:dyDescent="0.25">
      <c r="A338" s="256" t="s">
        <v>162</v>
      </c>
      <c r="B338" s="260">
        <f t="shared" si="536"/>
        <v>31000</v>
      </c>
      <c r="C338" s="260">
        <f t="shared" si="536"/>
        <v>31000</v>
      </c>
      <c r="D338" s="260">
        <f t="shared" si="536"/>
        <v>0</v>
      </c>
      <c r="E338" s="260"/>
      <c r="F338" s="260"/>
      <c r="G338" s="260">
        <f t="shared" si="572"/>
        <v>0</v>
      </c>
      <c r="H338" s="260"/>
      <c r="I338" s="260"/>
      <c r="J338" s="260">
        <f t="shared" si="505"/>
        <v>0</v>
      </c>
      <c r="K338" s="260">
        <f>31000</f>
        <v>31000</v>
      </c>
      <c r="L338" s="260">
        <f>31000</f>
        <v>31000</v>
      </c>
      <c r="M338" s="260">
        <f t="shared" si="508"/>
        <v>0</v>
      </c>
      <c r="N338" s="260"/>
      <c r="O338" s="260"/>
      <c r="P338" s="260">
        <f t="shared" si="511"/>
        <v>0</v>
      </c>
      <c r="Q338" s="260"/>
      <c r="R338" s="260"/>
      <c r="S338" s="260">
        <f t="shared" si="514"/>
        <v>0</v>
      </c>
      <c r="T338" s="260"/>
      <c r="U338" s="260"/>
      <c r="V338" s="260">
        <f t="shared" si="517"/>
        <v>0</v>
      </c>
      <c r="W338" s="260"/>
      <c r="X338" s="260"/>
      <c r="Y338" s="260">
        <f t="shared" si="519"/>
        <v>0</v>
      </c>
      <c r="Z338" s="260"/>
      <c r="AA338" s="260"/>
      <c r="AB338" s="260">
        <f t="shared" si="522"/>
        <v>0</v>
      </c>
    </row>
    <row r="339" spans="1:189" s="254" customFormat="1" ht="31.5" x14ac:dyDescent="0.25">
      <c r="A339" s="256" t="s">
        <v>163</v>
      </c>
      <c r="B339" s="260">
        <f t="shared" si="536"/>
        <v>60000</v>
      </c>
      <c r="C339" s="260">
        <f t="shared" si="536"/>
        <v>60000</v>
      </c>
      <c r="D339" s="260">
        <f t="shared" si="536"/>
        <v>0</v>
      </c>
      <c r="E339" s="260">
        <f>60000-60000</f>
        <v>0</v>
      </c>
      <c r="F339" s="260">
        <f>60000-60000</f>
        <v>0</v>
      </c>
      <c r="G339" s="260">
        <f t="shared" si="572"/>
        <v>0</v>
      </c>
      <c r="H339" s="260"/>
      <c r="I339" s="260"/>
      <c r="J339" s="260">
        <f t="shared" si="505"/>
        <v>0</v>
      </c>
      <c r="K339" s="260">
        <v>60000</v>
      </c>
      <c r="L339" s="260">
        <v>60000</v>
      </c>
      <c r="M339" s="260">
        <f t="shared" si="508"/>
        <v>0</v>
      </c>
      <c r="N339" s="260"/>
      <c r="O339" s="260"/>
      <c r="P339" s="260">
        <f t="shared" si="511"/>
        <v>0</v>
      </c>
      <c r="Q339" s="260"/>
      <c r="R339" s="260"/>
      <c r="S339" s="260">
        <f t="shared" si="514"/>
        <v>0</v>
      </c>
      <c r="T339" s="260"/>
      <c r="U339" s="260"/>
      <c r="V339" s="260">
        <f t="shared" si="517"/>
        <v>0</v>
      </c>
      <c r="W339" s="260"/>
      <c r="X339" s="260"/>
      <c r="Y339" s="260">
        <f t="shared" si="519"/>
        <v>0</v>
      </c>
      <c r="Z339" s="260"/>
      <c r="AA339" s="260"/>
      <c r="AB339" s="260">
        <f t="shared" si="522"/>
        <v>0</v>
      </c>
    </row>
    <row r="340" spans="1:189" s="254" customFormat="1" ht="31.5" x14ac:dyDescent="0.25">
      <c r="A340" s="256" t="s">
        <v>164</v>
      </c>
      <c r="B340" s="260">
        <f t="shared" si="536"/>
        <v>150000</v>
      </c>
      <c r="C340" s="260">
        <f t="shared" si="536"/>
        <v>150000</v>
      </c>
      <c r="D340" s="260">
        <f t="shared" si="536"/>
        <v>0</v>
      </c>
      <c r="E340" s="260">
        <v>70264</v>
      </c>
      <c r="F340" s="260">
        <f>70264-49914</f>
        <v>20350</v>
      </c>
      <c r="G340" s="260">
        <f t="shared" si="572"/>
        <v>-49914</v>
      </c>
      <c r="H340" s="260"/>
      <c r="I340" s="260">
        <f>49914</f>
        <v>49914</v>
      </c>
      <c r="J340" s="260">
        <f t="shared" si="505"/>
        <v>49914</v>
      </c>
      <c r="K340" s="260"/>
      <c r="L340" s="260"/>
      <c r="M340" s="260">
        <f t="shared" si="508"/>
        <v>0</v>
      </c>
      <c r="N340" s="260"/>
      <c r="O340" s="260"/>
      <c r="P340" s="260">
        <f t="shared" si="511"/>
        <v>0</v>
      </c>
      <c r="Q340" s="260"/>
      <c r="R340" s="260"/>
      <c r="S340" s="260">
        <f t="shared" si="514"/>
        <v>0</v>
      </c>
      <c r="T340" s="260">
        <v>79736</v>
      </c>
      <c r="U340" s="260">
        <v>79736</v>
      </c>
      <c r="V340" s="260">
        <f t="shared" si="517"/>
        <v>0</v>
      </c>
      <c r="W340" s="260"/>
      <c r="X340" s="260"/>
      <c r="Y340" s="260">
        <f t="shared" si="519"/>
        <v>0</v>
      </c>
      <c r="Z340" s="260"/>
      <c r="AA340" s="260"/>
      <c r="AB340" s="260">
        <f t="shared" si="522"/>
        <v>0</v>
      </c>
    </row>
    <row r="341" spans="1:189" s="254" customFormat="1" ht="94.5" x14ac:dyDescent="0.25">
      <c r="A341" s="256" t="s">
        <v>165</v>
      </c>
      <c r="B341" s="260">
        <f t="shared" si="536"/>
        <v>1091336</v>
      </c>
      <c r="C341" s="260">
        <f t="shared" si="536"/>
        <v>1091336</v>
      </c>
      <c r="D341" s="260">
        <f t="shared" si="536"/>
        <v>0</v>
      </c>
      <c r="E341" s="260"/>
      <c r="F341" s="260"/>
      <c r="G341" s="260">
        <f t="shared" si="572"/>
        <v>0</v>
      </c>
      <c r="H341" s="260"/>
      <c r="I341" s="260"/>
      <c r="J341" s="260">
        <f t="shared" si="505"/>
        <v>0</v>
      </c>
      <c r="K341" s="260"/>
      <c r="L341" s="260"/>
      <c r="M341" s="260">
        <f t="shared" si="508"/>
        <v>0</v>
      </c>
      <c r="N341" s="260">
        <v>1091336</v>
      </c>
      <c r="O341" s="260">
        <v>1091336</v>
      </c>
      <c r="P341" s="260">
        <f t="shared" si="511"/>
        <v>0</v>
      </c>
      <c r="Q341" s="260"/>
      <c r="R341" s="260"/>
      <c r="S341" s="260">
        <f t="shared" si="514"/>
        <v>0</v>
      </c>
      <c r="T341" s="260"/>
      <c r="U341" s="260"/>
      <c r="V341" s="260">
        <f t="shared" si="517"/>
        <v>0</v>
      </c>
      <c r="W341" s="260"/>
      <c r="X341" s="260"/>
      <c r="Y341" s="260">
        <f t="shared" si="519"/>
        <v>0</v>
      </c>
      <c r="Z341" s="260"/>
      <c r="AA341" s="260"/>
      <c r="AB341" s="260">
        <f t="shared" si="522"/>
        <v>0</v>
      </c>
    </row>
    <row r="342" spans="1:189" s="254" customFormat="1" ht="63" x14ac:dyDescent="0.25">
      <c r="A342" s="267" t="s">
        <v>166</v>
      </c>
      <c r="B342" s="260">
        <f t="shared" si="536"/>
        <v>26703</v>
      </c>
      <c r="C342" s="260">
        <f t="shared" si="536"/>
        <v>26703</v>
      </c>
      <c r="D342" s="260">
        <f t="shared" si="536"/>
        <v>0</v>
      </c>
      <c r="E342" s="260"/>
      <c r="F342" s="260"/>
      <c r="G342" s="260">
        <f t="shared" si="572"/>
        <v>0</v>
      </c>
      <c r="H342" s="260">
        <v>10703</v>
      </c>
      <c r="I342" s="260">
        <v>10703</v>
      </c>
      <c r="J342" s="260">
        <f t="shared" si="505"/>
        <v>0</v>
      </c>
      <c r="K342" s="260">
        <v>16000</v>
      </c>
      <c r="L342" s="260">
        <v>16000</v>
      </c>
      <c r="M342" s="260">
        <f t="shared" si="508"/>
        <v>0</v>
      </c>
      <c r="N342" s="260"/>
      <c r="O342" s="260"/>
      <c r="P342" s="260">
        <f t="shared" si="511"/>
        <v>0</v>
      </c>
      <c r="Q342" s="260"/>
      <c r="R342" s="260"/>
      <c r="S342" s="260">
        <f t="shared" si="514"/>
        <v>0</v>
      </c>
      <c r="T342" s="260"/>
      <c r="U342" s="260"/>
      <c r="V342" s="260">
        <f t="shared" si="517"/>
        <v>0</v>
      </c>
      <c r="W342" s="260"/>
      <c r="X342" s="260"/>
      <c r="Y342" s="260">
        <f t="shared" si="519"/>
        <v>0</v>
      </c>
      <c r="Z342" s="260"/>
      <c r="AA342" s="260"/>
      <c r="AB342" s="260">
        <f t="shared" si="522"/>
        <v>0</v>
      </c>
    </row>
    <row r="343" spans="1:189" s="254" customFormat="1" ht="31.5" x14ac:dyDescent="0.25">
      <c r="A343" s="259" t="s">
        <v>428</v>
      </c>
      <c r="B343" s="260">
        <f t="shared" si="536"/>
        <v>11400</v>
      </c>
      <c r="C343" s="260">
        <f t="shared" si="536"/>
        <v>11400</v>
      </c>
      <c r="D343" s="260">
        <f t="shared" si="536"/>
        <v>0</v>
      </c>
      <c r="E343" s="260"/>
      <c r="F343" s="260"/>
      <c r="G343" s="260">
        <f t="shared" si="572"/>
        <v>0</v>
      </c>
      <c r="H343" s="260"/>
      <c r="I343" s="260"/>
      <c r="J343" s="260">
        <f t="shared" si="505"/>
        <v>0</v>
      </c>
      <c r="K343" s="260">
        <f>5000+1400</f>
        <v>6400</v>
      </c>
      <c r="L343" s="260">
        <f>5000+1400</f>
        <v>6400</v>
      </c>
      <c r="M343" s="260">
        <f t="shared" si="508"/>
        <v>0</v>
      </c>
      <c r="N343" s="260"/>
      <c r="O343" s="260"/>
      <c r="P343" s="260">
        <f t="shared" si="511"/>
        <v>0</v>
      </c>
      <c r="Q343" s="260"/>
      <c r="R343" s="260"/>
      <c r="S343" s="260">
        <f t="shared" si="514"/>
        <v>0</v>
      </c>
      <c r="T343" s="260"/>
      <c r="U343" s="260"/>
      <c r="V343" s="260">
        <f t="shared" si="517"/>
        <v>0</v>
      </c>
      <c r="W343" s="260">
        <v>5000</v>
      </c>
      <c r="X343" s="260">
        <v>5000</v>
      </c>
      <c r="Y343" s="260">
        <f t="shared" si="519"/>
        <v>0</v>
      </c>
      <c r="Z343" s="260"/>
      <c r="AA343" s="260"/>
      <c r="AB343" s="260">
        <f t="shared" si="522"/>
        <v>0</v>
      </c>
    </row>
    <row r="344" spans="1:189" s="254" customFormat="1" ht="31.5" x14ac:dyDescent="0.25">
      <c r="A344" s="259" t="s">
        <v>167</v>
      </c>
      <c r="B344" s="260">
        <f t="shared" si="536"/>
        <v>150000</v>
      </c>
      <c r="C344" s="260">
        <f t="shared" si="536"/>
        <v>150000</v>
      </c>
      <c r="D344" s="260">
        <f t="shared" si="536"/>
        <v>0</v>
      </c>
      <c r="E344" s="260"/>
      <c r="F344" s="260"/>
      <c r="G344" s="260">
        <f t="shared" si="572"/>
        <v>0</v>
      </c>
      <c r="H344" s="260">
        <f>150000-21915-15750+25006</f>
        <v>137341</v>
      </c>
      <c r="I344" s="260">
        <f>150000-21915-15750+25006</f>
        <v>137341</v>
      </c>
      <c r="J344" s="260">
        <f t="shared" si="505"/>
        <v>0</v>
      </c>
      <c r="K344" s="260">
        <v>12659</v>
      </c>
      <c r="L344" s="260">
        <f>12659</f>
        <v>12659</v>
      </c>
      <c r="M344" s="260">
        <f t="shared" si="508"/>
        <v>0</v>
      </c>
      <c r="N344" s="260"/>
      <c r="O344" s="260"/>
      <c r="P344" s="260">
        <f t="shared" si="511"/>
        <v>0</v>
      </c>
      <c r="Q344" s="260"/>
      <c r="R344" s="260"/>
      <c r="S344" s="260">
        <f t="shared" si="514"/>
        <v>0</v>
      </c>
      <c r="T344" s="260"/>
      <c r="U344" s="260"/>
      <c r="V344" s="260">
        <f t="shared" si="517"/>
        <v>0</v>
      </c>
      <c r="W344" s="260"/>
      <c r="X344" s="260"/>
      <c r="Y344" s="260">
        <f t="shared" si="519"/>
        <v>0</v>
      </c>
      <c r="Z344" s="260">
        <f>37665-37665</f>
        <v>0</v>
      </c>
      <c r="AA344" s="260">
        <f>37665-37665</f>
        <v>0</v>
      </c>
      <c r="AB344" s="260">
        <f t="shared" si="522"/>
        <v>0</v>
      </c>
    </row>
    <row r="345" spans="1:189" s="254" customFormat="1" x14ac:dyDescent="0.25">
      <c r="A345" s="264" t="s">
        <v>483</v>
      </c>
      <c r="B345" s="260">
        <f t="shared" si="536"/>
        <v>17611</v>
      </c>
      <c r="C345" s="260">
        <f t="shared" si="536"/>
        <v>17611</v>
      </c>
      <c r="D345" s="260">
        <f t="shared" si="536"/>
        <v>0</v>
      </c>
      <c r="E345" s="260">
        <v>17611</v>
      </c>
      <c r="F345" s="260">
        <v>17611</v>
      </c>
      <c r="G345" s="260">
        <f t="shared" si="572"/>
        <v>0</v>
      </c>
      <c r="H345" s="260"/>
      <c r="I345" s="260"/>
      <c r="J345" s="260">
        <f t="shared" si="505"/>
        <v>0</v>
      </c>
      <c r="K345" s="260"/>
      <c r="L345" s="260"/>
      <c r="M345" s="260">
        <f t="shared" si="508"/>
        <v>0</v>
      </c>
      <c r="N345" s="260"/>
      <c r="O345" s="260"/>
      <c r="P345" s="260">
        <f t="shared" si="511"/>
        <v>0</v>
      </c>
      <c r="Q345" s="260"/>
      <c r="R345" s="260"/>
      <c r="S345" s="260">
        <f t="shared" si="514"/>
        <v>0</v>
      </c>
      <c r="T345" s="260"/>
      <c r="U345" s="260"/>
      <c r="V345" s="260">
        <f t="shared" si="517"/>
        <v>0</v>
      </c>
      <c r="W345" s="260"/>
      <c r="X345" s="260"/>
      <c r="Y345" s="260">
        <f t="shared" si="519"/>
        <v>0</v>
      </c>
      <c r="Z345" s="260"/>
      <c r="AA345" s="260"/>
      <c r="AB345" s="260">
        <f t="shared" si="522"/>
        <v>0</v>
      </c>
    </row>
    <row r="346" spans="1:189" s="254" customFormat="1" ht="31.5" x14ac:dyDescent="0.25">
      <c r="A346" s="259" t="s">
        <v>168</v>
      </c>
      <c r="B346" s="260">
        <f t="shared" si="536"/>
        <v>215301</v>
      </c>
      <c r="C346" s="260">
        <f t="shared" si="536"/>
        <v>215301</v>
      </c>
      <c r="D346" s="260">
        <f t="shared" si="536"/>
        <v>0</v>
      </c>
      <c r="E346" s="260">
        <v>215301</v>
      </c>
      <c r="F346" s="260">
        <f>215301-63574</f>
        <v>151727</v>
      </c>
      <c r="G346" s="260">
        <f t="shared" si="572"/>
        <v>-63574</v>
      </c>
      <c r="H346" s="260"/>
      <c r="I346" s="260">
        <f>63574-36342-8400-40</f>
        <v>18792</v>
      </c>
      <c r="J346" s="260">
        <f t="shared" si="505"/>
        <v>18792</v>
      </c>
      <c r="K346" s="260"/>
      <c r="L346" s="260">
        <f>36342+8400+40</f>
        <v>44782</v>
      </c>
      <c r="M346" s="260">
        <f t="shared" si="508"/>
        <v>44782</v>
      </c>
      <c r="N346" s="260"/>
      <c r="O346" s="260"/>
      <c r="P346" s="260">
        <f t="shared" si="511"/>
        <v>0</v>
      </c>
      <c r="Q346" s="260"/>
      <c r="R346" s="260"/>
      <c r="S346" s="260">
        <f t="shared" si="514"/>
        <v>0</v>
      </c>
      <c r="T346" s="260"/>
      <c r="U346" s="260"/>
      <c r="V346" s="260">
        <f t="shared" si="517"/>
        <v>0</v>
      </c>
      <c r="W346" s="260"/>
      <c r="X346" s="260"/>
      <c r="Y346" s="260">
        <f t="shared" si="519"/>
        <v>0</v>
      </c>
      <c r="Z346" s="260"/>
      <c r="AA346" s="260"/>
      <c r="AB346" s="260">
        <f t="shared" si="522"/>
        <v>0</v>
      </c>
    </row>
    <row r="347" spans="1:189" s="254" customFormat="1" x14ac:dyDescent="0.25">
      <c r="A347" s="266" t="s">
        <v>149</v>
      </c>
      <c r="B347" s="255">
        <f t="shared" si="536"/>
        <v>3000</v>
      </c>
      <c r="C347" s="255">
        <f t="shared" si="536"/>
        <v>3000</v>
      </c>
      <c r="D347" s="255">
        <f t="shared" si="536"/>
        <v>0</v>
      </c>
      <c r="E347" s="255">
        <f t="shared" ref="E347:AA347" si="573">SUM(E348:E348)</f>
        <v>0</v>
      </c>
      <c r="F347" s="255">
        <f t="shared" si="573"/>
        <v>0</v>
      </c>
      <c r="G347" s="255">
        <f t="shared" si="572"/>
        <v>0</v>
      </c>
      <c r="H347" s="255">
        <f t="shared" si="573"/>
        <v>0</v>
      </c>
      <c r="I347" s="255">
        <f t="shared" si="573"/>
        <v>0</v>
      </c>
      <c r="J347" s="255">
        <f t="shared" si="505"/>
        <v>0</v>
      </c>
      <c r="K347" s="255">
        <f t="shared" si="573"/>
        <v>3000</v>
      </c>
      <c r="L347" s="255">
        <f t="shared" si="573"/>
        <v>3000</v>
      </c>
      <c r="M347" s="255">
        <f t="shared" si="508"/>
        <v>0</v>
      </c>
      <c r="N347" s="255">
        <f t="shared" si="573"/>
        <v>0</v>
      </c>
      <c r="O347" s="255">
        <f t="shared" si="573"/>
        <v>0</v>
      </c>
      <c r="P347" s="255">
        <f t="shared" si="511"/>
        <v>0</v>
      </c>
      <c r="Q347" s="255">
        <f t="shared" si="573"/>
        <v>0</v>
      </c>
      <c r="R347" s="255">
        <f t="shared" si="573"/>
        <v>0</v>
      </c>
      <c r="S347" s="255">
        <f t="shared" si="514"/>
        <v>0</v>
      </c>
      <c r="T347" s="255">
        <f t="shared" si="573"/>
        <v>0</v>
      </c>
      <c r="U347" s="255">
        <f t="shared" si="573"/>
        <v>0</v>
      </c>
      <c r="V347" s="255">
        <f t="shared" si="517"/>
        <v>0</v>
      </c>
      <c r="W347" s="255">
        <f t="shared" si="573"/>
        <v>0</v>
      </c>
      <c r="X347" s="255">
        <f t="shared" si="573"/>
        <v>0</v>
      </c>
      <c r="Y347" s="255">
        <f t="shared" si="519"/>
        <v>0</v>
      </c>
      <c r="Z347" s="255">
        <f t="shared" si="573"/>
        <v>0</v>
      </c>
      <c r="AA347" s="255">
        <f t="shared" si="573"/>
        <v>0</v>
      </c>
      <c r="AB347" s="255">
        <f t="shared" si="522"/>
        <v>0</v>
      </c>
    </row>
    <row r="348" spans="1:189" s="254" customFormat="1" ht="31.5" x14ac:dyDescent="0.25">
      <c r="A348" s="259" t="s">
        <v>169</v>
      </c>
      <c r="B348" s="260">
        <f t="shared" si="536"/>
        <v>3000</v>
      </c>
      <c r="C348" s="260">
        <f t="shared" si="536"/>
        <v>3000</v>
      </c>
      <c r="D348" s="260">
        <f t="shared" si="536"/>
        <v>0</v>
      </c>
      <c r="E348" s="260"/>
      <c r="F348" s="260"/>
      <c r="G348" s="260">
        <f t="shared" si="572"/>
        <v>0</v>
      </c>
      <c r="H348" s="260"/>
      <c r="I348" s="260"/>
      <c r="J348" s="260">
        <f t="shared" si="505"/>
        <v>0</v>
      </c>
      <c r="K348" s="260">
        <v>3000</v>
      </c>
      <c r="L348" s="260">
        <v>3000</v>
      </c>
      <c r="M348" s="260">
        <f t="shared" si="508"/>
        <v>0</v>
      </c>
      <c r="N348" s="260"/>
      <c r="O348" s="260"/>
      <c r="P348" s="260">
        <f t="shared" si="511"/>
        <v>0</v>
      </c>
      <c r="Q348" s="260"/>
      <c r="R348" s="260"/>
      <c r="S348" s="260">
        <f t="shared" si="514"/>
        <v>0</v>
      </c>
      <c r="T348" s="260"/>
      <c r="U348" s="260"/>
      <c r="V348" s="260">
        <f t="shared" si="517"/>
        <v>0</v>
      </c>
      <c r="W348" s="260"/>
      <c r="X348" s="260"/>
      <c r="Y348" s="260">
        <f t="shared" si="519"/>
        <v>0</v>
      </c>
      <c r="Z348" s="260"/>
      <c r="AA348" s="260"/>
      <c r="AB348" s="260">
        <f t="shared" si="522"/>
        <v>0</v>
      </c>
      <c r="FN348" s="251"/>
      <c r="FO348" s="251"/>
      <c r="FP348" s="251"/>
      <c r="FQ348" s="251"/>
      <c r="FR348" s="251"/>
      <c r="FS348" s="251"/>
      <c r="FT348" s="251"/>
      <c r="FU348" s="251"/>
      <c r="FV348" s="251"/>
      <c r="FW348" s="251"/>
      <c r="FX348" s="251"/>
      <c r="FY348" s="251"/>
      <c r="FZ348" s="251"/>
      <c r="GA348" s="251"/>
      <c r="GB348" s="251"/>
      <c r="GC348" s="251"/>
      <c r="GD348" s="251"/>
      <c r="GE348" s="251"/>
      <c r="GF348" s="251"/>
      <c r="GG348" s="251"/>
    </row>
    <row r="349" spans="1:189" s="254" customFormat="1" ht="31.5" x14ac:dyDescent="0.25">
      <c r="A349" s="252" t="s">
        <v>85</v>
      </c>
      <c r="B349" s="253">
        <f t="shared" si="536"/>
        <v>1123418</v>
      </c>
      <c r="C349" s="253">
        <f t="shared" si="536"/>
        <v>1447527</v>
      </c>
      <c r="D349" s="253">
        <f t="shared" si="536"/>
        <v>324109</v>
      </c>
      <c r="E349" s="253">
        <f>SUM(E358,E384,E376,E379,E350)</f>
        <v>177000</v>
      </c>
      <c r="F349" s="253">
        <f>SUM(F358,F384,F376,F379,F350)</f>
        <v>177000</v>
      </c>
      <c r="G349" s="253">
        <f t="shared" si="572"/>
        <v>0</v>
      </c>
      <c r="H349" s="253">
        <f t="shared" ref="H349" si="574">SUM(H358,H384,H376,H379,H350)</f>
        <v>0</v>
      </c>
      <c r="I349" s="253">
        <f t="shared" ref="I349" si="575">SUM(I358,I384,I376,I379,I350)</f>
        <v>0</v>
      </c>
      <c r="J349" s="253">
        <f t="shared" si="505"/>
        <v>0</v>
      </c>
      <c r="K349" s="253">
        <f t="shared" ref="K349" si="576">SUM(K358,K384,K376,K379,K350)</f>
        <v>411658</v>
      </c>
      <c r="L349" s="253">
        <f t="shared" ref="L349" si="577">SUM(L358,L384,L376,L379,L350)</f>
        <v>410100</v>
      </c>
      <c r="M349" s="253">
        <f t="shared" si="508"/>
        <v>-1558</v>
      </c>
      <c r="N349" s="253">
        <f t="shared" ref="N349" si="578">SUM(N358,N384,N376,N379,N350)</f>
        <v>299960</v>
      </c>
      <c r="O349" s="253">
        <f t="shared" ref="O349" si="579">SUM(O358,O384,O376,O379,O350)</f>
        <v>657027</v>
      </c>
      <c r="P349" s="253">
        <f t="shared" si="511"/>
        <v>357067</v>
      </c>
      <c r="Q349" s="253">
        <f t="shared" ref="Q349" si="580">SUM(Q358,Q384,Q376,Q379,Q350)</f>
        <v>56000</v>
      </c>
      <c r="R349" s="253">
        <f t="shared" ref="R349" si="581">SUM(R358,R384,R376,R379,R350)</f>
        <v>24600</v>
      </c>
      <c r="S349" s="253">
        <f t="shared" si="514"/>
        <v>-31400</v>
      </c>
      <c r="T349" s="253">
        <f t="shared" ref="T349" si="582">SUM(T358,T384,T376,T379,T350)</f>
        <v>0</v>
      </c>
      <c r="U349" s="253">
        <f t="shared" ref="U349" si="583">SUM(U358,U384,U376,U379,U350)</f>
        <v>0</v>
      </c>
      <c r="V349" s="253">
        <f t="shared" si="517"/>
        <v>0</v>
      </c>
      <c r="W349" s="253">
        <f t="shared" ref="W349:X349" si="584">SUM(W358,W384,W376,W379,W350)</f>
        <v>0</v>
      </c>
      <c r="X349" s="253">
        <f t="shared" si="584"/>
        <v>0</v>
      </c>
      <c r="Y349" s="253">
        <f t="shared" si="519"/>
        <v>0</v>
      </c>
      <c r="Z349" s="253">
        <f t="shared" ref="Z349" si="585">SUM(Z358,Z384,Z376,Z379,Z350)</f>
        <v>178800</v>
      </c>
      <c r="AA349" s="253">
        <f t="shared" ref="AA349" si="586">SUM(AA358,AA384,AA376,AA379,AA350)</f>
        <v>178800</v>
      </c>
      <c r="AB349" s="253">
        <f t="shared" si="522"/>
        <v>0</v>
      </c>
      <c r="AC349" s="251"/>
      <c r="AD349" s="251"/>
      <c r="AE349" s="251"/>
      <c r="AF349" s="251"/>
      <c r="AG349" s="251"/>
      <c r="AH349" s="251"/>
      <c r="AI349" s="251"/>
      <c r="AJ349" s="251"/>
      <c r="AK349" s="251"/>
      <c r="AL349" s="251"/>
      <c r="AM349" s="251"/>
      <c r="AN349" s="251"/>
      <c r="AO349" s="251"/>
      <c r="AP349" s="251"/>
      <c r="AQ349" s="251"/>
      <c r="AR349" s="251"/>
      <c r="AS349" s="251"/>
      <c r="AT349" s="251"/>
      <c r="AU349" s="251"/>
      <c r="AV349" s="251"/>
      <c r="AW349" s="251"/>
      <c r="AX349" s="251"/>
      <c r="AY349" s="251"/>
      <c r="AZ349" s="251"/>
      <c r="BA349" s="251"/>
      <c r="BB349" s="251"/>
      <c r="BC349" s="251"/>
      <c r="BD349" s="251"/>
      <c r="BE349" s="251"/>
      <c r="BF349" s="251"/>
      <c r="BG349" s="251"/>
      <c r="BH349" s="251"/>
      <c r="BI349" s="251"/>
      <c r="BJ349" s="251"/>
      <c r="BK349" s="251"/>
      <c r="BL349" s="251"/>
      <c r="BM349" s="251"/>
      <c r="BN349" s="251"/>
      <c r="BO349" s="251"/>
      <c r="BP349" s="251"/>
      <c r="BQ349" s="251"/>
      <c r="BR349" s="251"/>
      <c r="BS349" s="251"/>
      <c r="BT349" s="251"/>
      <c r="BU349" s="251"/>
      <c r="BV349" s="251"/>
      <c r="BW349" s="251"/>
      <c r="BX349" s="251"/>
      <c r="BY349" s="251"/>
      <c r="BZ349" s="251"/>
      <c r="CA349" s="251"/>
      <c r="CB349" s="251"/>
      <c r="CC349" s="251"/>
      <c r="CD349" s="251"/>
      <c r="CE349" s="251"/>
      <c r="CF349" s="251"/>
      <c r="CG349" s="251"/>
      <c r="CH349" s="251"/>
      <c r="CI349" s="251"/>
      <c r="CJ349" s="251"/>
      <c r="CK349" s="251"/>
      <c r="CL349" s="251"/>
      <c r="CM349" s="251"/>
      <c r="CN349" s="251"/>
      <c r="CO349" s="251"/>
      <c r="CP349" s="251"/>
      <c r="CQ349" s="251"/>
      <c r="CR349" s="251"/>
      <c r="CS349" s="251"/>
      <c r="CT349" s="251"/>
      <c r="CU349" s="251"/>
      <c r="CV349" s="251"/>
      <c r="CW349" s="251"/>
      <c r="CX349" s="251"/>
      <c r="CY349" s="251"/>
      <c r="CZ349" s="251"/>
      <c r="DA349" s="251"/>
      <c r="DB349" s="251"/>
      <c r="DC349" s="251"/>
      <c r="DD349" s="251"/>
      <c r="DE349" s="251"/>
      <c r="DF349" s="251"/>
      <c r="DG349" s="251"/>
      <c r="DH349" s="251"/>
      <c r="DI349" s="251"/>
      <c r="DJ349" s="251"/>
      <c r="DK349" s="251"/>
      <c r="DL349" s="251"/>
      <c r="DM349" s="251"/>
      <c r="DN349" s="251"/>
      <c r="DO349" s="251"/>
      <c r="DP349" s="251"/>
      <c r="DQ349" s="251"/>
      <c r="DR349" s="251"/>
      <c r="DS349" s="251"/>
      <c r="DT349" s="251"/>
      <c r="DU349" s="251"/>
      <c r="DV349" s="251"/>
      <c r="DW349" s="251"/>
      <c r="DX349" s="251"/>
      <c r="DY349" s="251"/>
      <c r="DZ349" s="251"/>
      <c r="EA349" s="251"/>
      <c r="EB349" s="251"/>
      <c r="EC349" s="251"/>
      <c r="ED349" s="251"/>
      <c r="EE349" s="251"/>
      <c r="EF349" s="251"/>
      <c r="EG349" s="251"/>
      <c r="EH349" s="251"/>
      <c r="EI349" s="251"/>
      <c r="EJ349" s="251"/>
      <c r="EK349" s="251"/>
      <c r="EL349" s="251"/>
      <c r="EM349" s="251"/>
      <c r="EN349" s="251"/>
      <c r="EO349" s="251"/>
      <c r="EP349" s="251"/>
      <c r="EQ349" s="251"/>
      <c r="ER349" s="251"/>
      <c r="ES349" s="251"/>
      <c r="ET349" s="251"/>
      <c r="EU349" s="251"/>
      <c r="EV349" s="251"/>
      <c r="EW349" s="251"/>
      <c r="EX349" s="251"/>
      <c r="EY349" s="251"/>
      <c r="EZ349" s="251"/>
      <c r="FA349" s="251"/>
      <c r="FB349" s="251"/>
      <c r="FC349" s="251"/>
      <c r="FD349" s="251"/>
      <c r="FE349" s="251"/>
      <c r="FF349" s="251"/>
      <c r="FG349" s="251"/>
      <c r="FH349" s="251"/>
      <c r="FI349" s="251"/>
      <c r="FJ349" s="251"/>
      <c r="FK349" s="251"/>
      <c r="FL349" s="251"/>
      <c r="FM349" s="251"/>
      <c r="FN349" s="251"/>
      <c r="FO349" s="251"/>
      <c r="FP349" s="251"/>
      <c r="FQ349" s="251"/>
      <c r="FR349" s="251"/>
      <c r="FS349" s="251"/>
      <c r="FT349" s="251"/>
      <c r="FU349" s="251"/>
      <c r="FV349" s="251"/>
      <c r="FW349" s="251"/>
      <c r="FX349" s="251"/>
      <c r="FY349" s="251"/>
      <c r="FZ349" s="251"/>
      <c r="GA349" s="251"/>
      <c r="GB349" s="251"/>
      <c r="GC349" s="251"/>
      <c r="GD349" s="251"/>
      <c r="GE349" s="251"/>
      <c r="GF349" s="251"/>
      <c r="GG349" s="251"/>
    </row>
    <row r="350" spans="1:189" s="254" customFormat="1" x14ac:dyDescent="0.25">
      <c r="A350" s="252" t="s">
        <v>101</v>
      </c>
      <c r="B350" s="253">
        <f t="shared" si="536"/>
        <v>23989</v>
      </c>
      <c r="C350" s="253">
        <f t="shared" si="536"/>
        <v>22431</v>
      </c>
      <c r="D350" s="253">
        <f t="shared" si="536"/>
        <v>-1558</v>
      </c>
      <c r="E350" s="253">
        <f>SUM(E351:E357)</f>
        <v>0</v>
      </c>
      <c r="F350" s="253">
        <f>SUM(F351:F357)</f>
        <v>0</v>
      </c>
      <c r="G350" s="253">
        <f t="shared" si="572"/>
        <v>0</v>
      </c>
      <c r="H350" s="253">
        <f t="shared" ref="H350" si="587">SUM(H351:H357)</f>
        <v>0</v>
      </c>
      <c r="I350" s="253">
        <f t="shared" ref="I350" si="588">SUM(I351:I357)</f>
        <v>0</v>
      </c>
      <c r="J350" s="253">
        <f t="shared" si="505"/>
        <v>0</v>
      </c>
      <c r="K350" s="253">
        <f t="shared" ref="K350" si="589">SUM(K351:K357)</f>
        <v>22563</v>
      </c>
      <c r="L350" s="253">
        <f t="shared" ref="L350" si="590">SUM(L351:L357)</f>
        <v>21005</v>
      </c>
      <c r="M350" s="253">
        <f t="shared" si="508"/>
        <v>-1558</v>
      </c>
      <c r="N350" s="253">
        <f t="shared" ref="N350" si="591">SUM(N351:N357)</f>
        <v>1426</v>
      </c>
      <c r="O350" s="253">
        <f t="shared" ref="O350" si="592">SUM(O351:O357)</f>
        <v>1426</v>
      </c>
      <c r="P350" s="253">
        <f t="shared" si="511"/>
        <v>0</v>
      </c>
      <c r="Q350" s="253">
        <f t="shared" ref="Q350" si="593">SUM(Q351:Q357)</f>
        <v>0</v>
      </c>
      <c r="R350" s="253">
        <f t="shared" ref="R350" si="594">SUM(R351:R357)</f>
        <v>0</v>
      </c>
      <c r="S350" s="253">
        <f t="shared" si="514"/>
        <v>0</v>
      </c>
      <c r="T350" s="253">
        <f t="shared" ref="T350" si="595">SUM(T351:T357)</f>
        <v>0</v>
      </c>
      <c r="U350" s="253">
        <f t="shared" ref="U350" si="596">SUM(U351:U357)</f>
        <v>0</v>
      </c>
      <c r="V350" s="253">
        <f t="shared" si="517"/>
        <v>0</v>
      </c>
      <c r="W350" s="253">
        <f t="shared" ref="W350:X350" si="597">SUM(W351:W357)</f>
        <v>0</v>
      </c>
      <c r="X350" s="253">
        <f t="shared" si="597"/>
        <v>0</v>
      </c>
      <c r="Y350" s="253">
        <f t="shared" si="519"/>
        <v>0</v>
      </c>
      <c r="Z350" s="253">
        <f t="shared" ref="Z350" si="598">SUM(Z351:Z357)</f>
        <v>0</v>
      </c>
      <c r="AA350" s="253">
        <f t="shared" ref="AA350" si="599">SUM(AA351:AA357)</f>
        <v>0</v>
      </c>
      <c r="AB350" s="253">
        <f t="shared" si="522"/>
        <v>0</v>
      </c>
      <c r="AC350" s="251"/>
      <c r="AD350" s="251"/>
      <c r="AE350" s="251"/>
      <c r="AF350" s="251"/>
      <c r="AG350" s="251"/>
      <c r="AH350" s="251"/>
      <c r="AI350" s="251"/>
      <c r="AJ350" s="251"/>
      <c r="AK350" s="251"/>
      <c r="AL350" s="251"/>
      <c r="AM350" s="251"/>
      <c r="AN350" s="251"/>
      <c r="AO350" s="251"/>
      <c r="AP350" s="251"/>
      <c r="AQ350" s="251"/>
      <c r="AR350" s="251"/>
      <c r="AS350" s="251"/>
      <c r="AT350" s="251"/>
      <c r="AU350" s="251"/>
      <c r="AV350" s="251"/>
      <c r="AW350" s="251"/>
      <c r="AX350" s="251"/>
      <c r="AY350" s="251"/>
      <c r="AZ350" s="251"/>
      <c r="BA350" s="251"/>
      <c r="BB350" s="251"/>
      <c r="BC350" s="251"/>
      <c r="BD350" s="251"/>
      <c r="BE350" s="251"/>
      <c r="BF350" s="251"/>
      <c r="BG350" s="251"/>
      <c r="BH350" s="251"/>
      <c r="BI350" s="251"/>
      <c r="BJ350" s="251"/>
      <c r="BK350" s="251"/>
      <c r="BL350" s="251"/>
      <c r="BM350" s="251"/>
      <c r="BN350" s="251"/>
      <c r="BO350" s="251"/>
      <c r="BP350" s="251"/>
      <c r="BQ350" s="251"/>
      <c r="BR350" s="251"/>
      <c r="BS350" s="251"/>
      <c r="BT350" s="251"/>
      <c r="BU350" s="251"/>
      <c r="BV350" s="251"/>
      <c r="BW350" s="251"/>
      <c r="BX350" s="251"/>
      <c r="BY350" s="251"/>
      <c r="BZ350" s="251"/>
      <c r="CA350" s="251"/>
      <c r="CB350" s="251"/>
      <c r="CC350" s="251"/>
      <c r="CD350" s="251"/>
      <c r="CE350" s="251"/>
      <c r="CF350" s="251"/>
      <c r="CG350" s="251"/>
      <c r="CH350" s="251"/>
      <c r="CI350" s="251"/>
      <c r="CJ350" s="251"/>
      <c r="CK350" s="251"/>
      <c r="CL350" s="251"/>
      <c r="CM350" s="251"/>
      <c r="CN350" s="251"/>
      <c r="CO350" s="251"/>
      <c r="CP350" s="251"/>
      <c r="CQ350" s="251"/>
      <c r="CR350" s="251"/>
      <c r="CS350" s="251"/>
      <c r="CT350" s="251"/>
      <c r="CU350" s="251"/>
      <c r="CV350" s="251"/>
      <c r="CW350" s="251"/>
      <c r="CX350" s="251"/>
      <c r="CY350" s="251"/>
      <c r="CZ350" s="251"/>
      <c r="DA350" s="251"/>
      <c r="DB350" s="251"/>
      <c r="DC350" s="251"/>
      <c r="DD350" s="251"/>
      <c r="DE350" s="251"/>
      <c r="DF350" s="251"/>
      <c r="DG350" s="251"/>
      <c r="DH350" s="251"/>
      <c r="DI350" s="251"/>
      <c r="DJ350" s="251"/>
      <c r="DK350" s="251"/>
      <c r="DL350" s="251"/>
      <c r="DM350" s="251"/>
      <c r="DN350" s="251"/>
      <c r="DO350" s="251"/>
      <c r="DP350" s="251"/>
      <c r="DQ350" s="251"/>
      <c r="DR350" s="251"/>
      <c r="DS350" s="251"/>
      <c r="DT350" s="251"/>
      <c r="DU350" s="251"/>
      <c r="DV350" s="251"/>
      <c r="DW350" s="251"/>
      <c r="DX350" s="251"/>
      <c r="DY350" s="251"/>
      <c r="DZ350" s="251"/>
      <c r="EA350" s="251"/>
      <c r="EB350" s="251"/>
      <c r="EC350" s="251"/>
      <c r="ED350" s="251"/>
      <c r="EE350" s="251"/>
      <c r="EF350" s="251"/>
      <c r="EG350" s="251"/>
      <c r="EH350" s="251"/>
      <c r="EI350" s="251"/>
      <c r="EJ350" s="251"/>
      <c r="EK350" s="251"/>
      <c r="EL350" s="251"/>
      <c r="EM350" s="251"/>
      <c r="EN350" s="251"/>
      <c r="EO350" s="251"/>
      <c r="EP350" s="251"/>
      <c r="EQ350" s="251"/>
      <c r="ER350" s="251"/>
      <c r="ES350" s="251"/>
      <c r="ET350" s="251"/>
      <c r="EU350" s="251"/>
      <c r="EV350" s="251"/>
      <c r="EW350" s="251"/>
      <c r="EX350" s="251"/>
      <c r="EY350" s="251"/>
      <c r="EZ350" s="251"/>
      <c r="FA350" s="251"/>
      <c r="FB350" s="251"/>
      <c r="FC350" s="251"/>
      <c r="FD350" s="251"/>
      <c r="FE350" s="251"/>
      <c r="FF350" s="251"/>
      <c r="FG350" s="251"/>
      <c r="FH350" s="251"/>
      <c r="FI350" s="251"/>
      <c r="FJ350" s="251"/>
      <c r="FK350" s="251"/>
      <c r="FL350" s="251"/>
      <c r="FM350" s="251"/>
      <c r="FN350" s="251"/>
      <c r="FO350" s="251"/>
      <c r="FP350" s="251"/>
      <c r="FQ350" s="251"/>
      <c r="FR350" s="251"/>
      <c r="FS350" s="251"/>
      <c r="FT350" s="251"/>
      <c r="FU350" s="251"/>
      <c r="FV350" s="251"/>
      <c r="FW350" s="251"/>
      <c r="FX350" s="251"/>
      <c r="FY350" s="251"/>
      <c r="FZ350" s="251"/>
      <c r="GA350" s="251"/>
      <c r="GB350" s="251"/>
      <c r="GC350" s="251"/>
      <c r="GD350" s="251"/>
      <c r="GE350" s="251"/>
      <c r="GF350" s="251"/>
      <c r="GG350" s="251"/>
    </row>
    <row r="351" spans="1:189" s="254" customFormat="1" ht="31.5" x14ac:dyDescent="0.25">
      <c r="A351" s="256" t="s">
        <v>170</v>
      </c>
      <c r="B351" s="260">
        <f t="shared" si="536"/>
        <v>2214</v>
      </c>
      <c r="C351" s="260">
        <f t="shared" si="536"/>
        <v>2214</v>
      </c>
      <c r="D351" s="260">
        <f t="shared" si="536"/>
        <v>0</v>
      </c>
      <c r="E351" s="260"/>
      <c r="F351" s="260"/>
      <c r="G351" s="260">
        <f t="shared" si="572"/>
        <v>0</v>
      </c>
      <c r="H351" s="260"/>
      <c r="I351" s="260"/>
      <c r="J351" s="260">
        <f t="shared" si="505"/>
        <v>0</v>
      </c>
      <c r="K351" s="260">
        <v>2214</v>
      </c>
      <c r="L351" s="260">
        <v>2214</v>
      </c>
      <c r="M351" s="260">
        <f t="shared" si="508"/>
        <v>0</v>
      </c>
      <c r="N351" s="260"/>
      <c r="O351" s="260"/>
      <c r="P351" s="260">
        <f t="shared" si="511"/>
        <v>0</v>
      </c>
      <c r="Q351" s="260"/>
      <c r="R351" s="260"/>
      <c r="S351" s="260">
        <f t="shared" si="514"/>
        <v>0</v>
      </c>
      <c r="T351" s="260"/>
      <c r="U351" s="260"/>
      <c r="V351" s="260">
        <f t="shared" si="517"/>
        <v>0</v>
      </c>
      <c r="W351" s="260"/>
      <c r="X351" s="260"/>
      <c r="Y351" s="260">
        <f t="shared" si="519"/>
        <v>0</v>
      </c>
      <c r="Z351" s="260"/>
      <c r="AA351" s="260"/>
      <c r="AB351" s="260">
        <f t="shared" si="522"/>
        <v>0</v>
      </c>
    </row>
    <row r="352" spans="1:189" s="254" customFormat="1" ht="31.5" x14ac:dyDescent="0.25">
      <c r="A352" s="256" t="s">
        <v>171</v>
      </c>
      <c r="B352" s="260">
        <f t="shared" si="536"/>
        <v>1000</v>
      </c>
      <c r="C352" s="260">
        <f t="shared" si="536"/>
        <v>1000</v>
      </c>
      <c r="D352" s="260">
        <f t="shared" si="536"/>
        <v>0</v>
      </c>
      <c r="E352" s="260"/>
      <c r="F352" s="260"/>
      <c r="G352" s="260">
        <f t="shared" si="572"/>
        <v>0</v>
      </c>
      <c r="H352" s="260"/>
      <c r="I352" s="260"/>
      <c r="J352" s="260">
        <f t="shared" si="505"/>
        <v>0</v>
      </c>
      <c r="K352" s="260">
        <v>1000</v>
      </c>
      <c r="L352" s="260">
        <v>1000</v>
      </c>
      <c r="M352" s="260">
        <f t="shared" si="508"/>
        <v>0</v>
      </c>
      <c r="N352" s="260"/>
      <c r="O352" s="260"/>
      <c r="P352" s="260">
        <f t="shared" si="511"/>
        <v>0</v>
      </c>
      <c r="Q352" s="260"/>
      <c r="R352" s="260"/>
      <c r="S352" s="260">
        <f t="shared" si="514"/>
        <v>0</v>
      </c>
      <c r="T352" s="260"/>
      <c r="U352" s="260"/>
      <c r="V352" s="260">
        <f t="shared" si="517"/>
        <v>0</v>
      </c>
      <c r="W352" s="260"/>
      <c r="X352" s="260"/>
      <c r="Y352" s="260">
        <f t="shared" si="519"/>
        <v>0</v>
      </c>
      <c r="Z352" s="260"/>
      <c r="AA352" s="260"/>
      <c r="AB352" s="260">
        <f t="shared" si="522"/>
        <v>0</v>
      </c>
    </row>
    <row r="353" spans="1:189" s="254" customFormat="1" x14ac:dyDescent="0.25">
      <c r="A353" s="256" t="s">
        <v>172</v>
      </c>
      <c r="B353" s="260">
        <f t="shared" si="536"/>
        <v>3726</v>
      </c>
      <c r="C353" s="260">
        <f t="shared" si="536"/>
        <v>3726</v>
      </c>
      <c r="D353" s="260">
        <f t="shared" si="536"/>
        <v>0</v>
      </c>
      <c r="E353" s="260"/>
      <c r="F353" s="260"/>
      <c r="G353" s="260">
        <f t="shared" si="572"/>
        <v>0</v>
      </c>
      <c r="H353" s="260"/>
      <c r="I353" s="260"/>
      <c r="J353" s="260">
        <f t="shared" si="505"/>
        <v>0</v>
      </c>
      <c r="K353" s="260">
        <v>3726</v>
      </c>
      <c r="L353" s="260">
        <v>3726</v>
      </c>
      <c r="M353" s="260">
        <f t="shared" si="508"/>
        <v>0</v>
      </c>
      <c r="N353" s="260"/>
      <c r="O353" s="260"/>
      <c r="P353" s="260">
        <f t="shared" si="511"/>
        <v>0</v>
      </c>
      <c r="Q353" s="260"/>
      <c r="R353" s="260"/>
      <c r="S353" s="260">
        <f t="shared" si="514"/>
        <v>0</v>
      </c>
      <c r="T353" s="260"/>
      <c r="U353" s="260"/>
      <c r="V353" s="260">
        <f t="shared" si="517"/>
        <v>0</v>
      </c>
      <c r="W353" s="260"/>
      <c r="X353" s="260"/>
      <c r="Y353" s="260">
        <f t="shared" si="519"/>
        <v>0</v>
      </c>
      <c r="Z353" s="260"/>
      <c r="AA353" s="260"/>
      <c r="AB353" s="260">
        <f t="shared" si="522"/>
        <v>0</v>
      </c>
    </row>
    <row r="354" spans="1:189" s="254" customFormat="1" x14ac:dyDescent="0.25">
      <c r="A354" s="256" t="s">
        <v>506</v>
      </c>
      <c r="B354" s="260">
        <f t="shared" si="536"/>
        <v>869</v>
      </c>
      <c r="C354" s="260">
        <f t="shared" si="536"/>
        <v>869</v>
      </c>
      <c r="D354" s="260">
        <f t="shared" si="536"/>
        <v>0</v>
      </c>
      <c r="E354" s="260"/>
      <c r="F354" s="260"/>
      <c r="G354" s="260">
        <f t="shared" si="572"/>
        <v>0</v>
      </c>
      <c r="H354" s="260"/>
      <c r="I354" s="260"/>
      <c r="J354" s="260">
        <f t="shared" si="505"/>
        <v>0</v>
      </c>
      <c r="K354" s="260">
        <v>869</v>
      </c>
      <c r="L354" s="260">
        <v>869</v>
      </c>
      <c r="M354" s="260">
        <f t="shared" si="508"/>
        <v>0</v>
      </c>
      <c r="N354" s="260"/>
      <c r="O354" s="260"/>
      <c r="P354" s="260">
        <f t="shared" si="511"/>
        <v>0</v>
      </c>
      <c r="Q354" s="260"/>
      <c r="R354" s="260"/>
      <c r="S354" s="260">
        <f t="shared" si="514"/>
        <v>0</v>
      </c>
      <c r="T354" s="260"/>
      <c r="U354" s="260"/>
      <c r="V354" s="260">
        <f t="shared" si="517"/>
        <v>0</v>
      </c>
      <c r="W354" s="260"/>
      <c r="X354" s="260"/>
      <c r="Y354" s="260">
        <f t="shared" si="519"/>
        <v>0</v>
      </c>
      <c r="Z354" s="260"/>
      <c r="AA354" s="260"/>
      <c r="AB354" s="260">
        <f t="shared" si="522"/>
        <v>0</v>
      </c>
    </row>
    <row r="355" spans="1:189" s="254" customFormat="1" ht="31.5" x14ac:dyDescent="0.25">
      <c r="A355" s="256" t="s">
        <v>422</v>
      </c>
      <c r="B355" s="260">
        <f t="shared" si="536"/>
        <v>4704</v>
      </c>
      <c r="C355" s="260">
        <f t="shared" si="536"/>
        <v>4704</v>
      </c>
      <c r="D355" s="260">
        <f t="shared" si="536"/>
        <v>0</v>
      </c>
      <c r="E355" s="260"/>
      <c r="F355" s="260"/>
      <c r="G355" s="260">
        <f t="shared" si="572"/>
        <v>0</v>
      </c>
      <c r="H355" s="260"/>
      <c r="I355" s="260"/>
      <c r="J355" s="260">
        <f t="shared" si="505"/>
        <v>0</v>
      </c>
      <c r="K355" s="260">
        <f>17364-13930+1270</f>
        <v>4704</v>
      </c>
      <c r="L355" s="260">
        <f>17364-13930+1270</f>
        <v>4704</v>
      </c>
      <c r="M355" s="260">
        <f t="shared" si="508"/>
        <v>0</v>
      </c>
      <c r="N355" s="260"/>
      <c r="O355" s="260"/>
      <c r="P355" s="260">
        <f t="shared" si="511"/>
        <v>0</v>
      </c>
      <c r="Q355" s="260"/>
      <c r="R355" s="260"/>
      <c r="S355" s="260">
        <f t="shared" si="514"/>
        <v>0</v>
      </c>
      <c r="T355" s="260"/>
      <c r="U355" s="260"/>
      <c r="V355" s="260">
        <f t="shared" si="517"/>
        <v>0</v>
      </c>
      <c r="W355" s="260"/>
      <c r="X355" s="260"/>
      <c r="Y355" s="260">
        <f t="shared" si="519"/>
        <v>0</v>
      </c>
      <c r="Z355" s="260"/>
      <c r="AA355" s="260"/>
      <c r="AB355" s="260">
        <f t="shared" si="522"/>
        <v>0</v>
      </c>
    </row>
    <row r="356" spans="1:189" s="254" customFormat="1" ht="31.5" x14ac:dyDescent="0.25">
      <c r="A356" s="268" t="s">
        <v>235</v>
      </c>
      <c r="B356" s="260">
        <f t="shared" si="536"/>
        <v>1426</v>
      </c>
      <c r="C356" s="260">
        <f t="shared" si="536"/>
        <v>1426</v>
      </c>
      <c r="D356" s="260">
        <f t="shared" si="536"/>
        <v>0</v>
      </c>
      <c r="E356" s="260"/>
      <c r="F356" s="260"/>
      <c r="G356" s="260">
        <f t="shared" si="572"/>
        <v>0</v>
      </c>
      <c r="H356" s="260"/>
      <c r="I356" s="260"/>
      <c r="J356" s="260">
        <f t="shared" si="505"/>
        <v>0</v>
      </c>
      <c r="K356" s="260"/>
      <c r="L356" s="260"/>
      <c r="M356" s="260">
        <f t="shared" si="508"/>
        <v>0</v>
      </c>
      <c r="N356" s="260">
        <v>1426</v>
      </c>
      <c r="O356" s="260">
        <v>1426</v>
      </c>
      <c r="P356" s="260">
        <f t="shared" si="511"/>
        <v>0</v>
      </c>
      <c r="Q356" s="260"/>
      <c r="R356" s="260"/>
      <c r="S356" s="260">
        <f t="shared" si="514"/>
        <v>0</v>
      </c>
      <c r="T356" s="260"/>
      <c r="U356" s="260"/>
      <c r="V356" s="260">
        <f t="shared" si="517"/>
        <v>0</v>
      </c>
      <c r="W356" s="260"/>
      <c r="X356" s="260"/>
      <c r="Y356" s="260">
        <f t="shared" si="519"/>
        <v>0</v>
      </c>
      <c r="Z356" s="260"/>
      <c r="AA356" s="260"/>
      <c r="AB356" s="260">
        <f t="shared" si="522"/>
        <v>0</v>
      </c>
    </row>
    <row r="357" spans="1:189" s="254" customFormat="1" ht="31.5" x14ac:dyDescent="0.25">
      <c r="A357" s="256" t="s">
        <v>173</v>
      </c>
      <c r="B357" s="260">
        <f t="shared" si="536"/>
        <v>10050</v>
      </c>
      <c r="C357" s="260">
        <f t="shared" si="536"/>
        <v>8492</v>
      </c>
      <c r="D357" s="260">
        <f t="shared" si="536"/>
        <v>-1558</v>
      </c>
      <c r="E357" s="260"/>
      <c r="F357" s="260"/>
      <c r="G357" s="260">
        <f t="shared" si="572"/>
        <v>0</v>
      </c>
      <c r="H357" s="260"/>
      <c r="I357" s="260"/>
      <c r="J357" s="260">
        <f t="shared" si="505"/>
        <v>0</v>
      </c>
      <c r="K357" s="260">
        <f>12500-2450</f>
        <v>10050</v>
      </c>
      <c r="L357" s="260">
        <f>12500-2450-1558</f>
        <v>8492</v>
      </c>
      <c r="M357" s="260">
        <f t="shared" si="508"/>
        <v>-1558</v>
      </c>
      <c r="N357" s="260"/>
      <c r="O357" s="260"/>
      <c r="P357" s="260">
        <f t="shared" si="511"/>
        <v>0</v>
      </c>
      <c r="Q357" s="260"/>
      <c r="R357" s="260"/>
      <c r="S357" s="260">
        <f t="shared" si="514"/>
        <v>0</v>
      </c>
      <c r="T357" s="260"/>
      <c r="U357" s="260"/>
      <c r="V357" s="260">
        <f t="shared" si="517"/>
        <v>0</v>
      </c>
      <c r="W357" s="260"/>
      <c r="X357" s="260"/>
      <c r="Y357" s="260">
        <f t="shared" si="519"/>
        <v>0</v>
      </c>
      <c r="Z357" s="260"/>
      <c r="AA357" s="260"/>
      <c r="AB357" s="260">
        <f t="shared" si="522"/>
        <v>0</v>
      </c>
    </row>
    <row r="358" spans="1:189" s="254" customFormat="1" ht="31.5" x14ac:dyDescent="0.25">
      <c r="A358" s="252" t="s">
        <v>107</v>
      </c>
      <c r="B358" s="253">
        <f t="shared" si="536"/>
        <v>263968</v>
      </c>
      <c r="C358" s="253">
        <f>F358+I358+L358+O358+R358+U358+AA358+X358</f>
        <v>621035</v>
      </c>
      <c r="D358" s="253">
        <f t="shared" si="536"/>
        <v>357067</v>
      </c>
      <c r="E358" s="253">
        <f>SUM(E359:E375)</f>
        <v>0</v>
      </c>
      <c r="F358" s="253">
        <f>SUM(F359:F375)</f>
        <v>0</v>
      </c>
      <c r="G358" s="253">
        <f t="shared" si="572"/>
        <v>0</v>
      </c>
      <c r="H358" s="253">
        <f t="shared" ref="H358" si="600">SUM(H359:H375)</f>
        <v>0</v>
      </c>
      <c r="I358" s="253">
        <f t="shared" ref="I358" si="601">SUM(I359:I375)</f>
        <v>0</v>
      </c>
      <c r="J358" s="253">
        <f t="shared" si="505"/>
        <v>0</v>
      </c>
      <c r="K358" s="253">
        <f t="shared" ref="K358" si="602">SUM(K359:K375)</f>
        <v>262528</v>
      </c>
      <c r="L358" s="253">
        <f t="shared" ref="L358" si="603">SUM(L359:L375)</f>
        <v>262528</v>
      </c>
      <c r="M358" s="253">
        <f t="shared" si="508"/>
        <v>0</v>
      </c>
      <c r="N358" s="253">
        <f t="shared" ref="N358" si="604">SUM(N359:N375)</f>
        <v>1440</v>
      </c>
      <c r="O358" s="253">
        <f>SUM(O359:O375)</f>
        <v>358507</v>
      </c>
      <c r="P358" s="253">
        <f t="shared" si="511"/>
        <v>357067</v>
      </c>
      <c r="Q358" s="253">
        <f t="shared" ref="Q358" si="605">SUM(Q359:Q375)</f>
        <v>0</v>
      </c>
      <c r="R358" s="253">
        <f t="shared" ref="R358" si="606">SUM(R359:R375)</f>
        <v>0</v>
      </c>
      <c r="S358" s="253">
        <f t="shared" si="514"/>
        <v>0</v>
      </c>
      <c r="T358" s="253">
        <f t="shared" ref="T358" si="607">SUM(T359:T375)</f>
        <v>0</v>
      </c>
      <c r="U358" s="253">
        <f t="shared" ref="U358" si="608">SUM(U359:U375)</f>
        <v>0</v>
      </c>
      <c r="V358" s="253">
        <f t="shared" si="517"/>
        <v>0</v>
      </c>
      <c r="W358" s="253">
        <f t="shared" ref="W358:X358" si="609">SUM(W359:W375)</f>
        <v>0</v>
      </c>
      <c r="X358" s="253">
        <f t="shared" si="609"/>
        <v>0</v>
      </c>
      <c r="Y358" s="253">
        <f t="shared" si="519"/>
        <v>0</v>
      </c>
      <c r="Z358" s="253">
        <f t="shared" ref="Z358" si="610">SUM(Z359:Z375)</f>
        <v>0</v>
      </c>
      <c r="AA358" s="253">
        <f t="shared" ref="AA358" si="611">SUM(AA359:AA375)</f>
        <v>0</v>
      </c>
      <c r="AB358" s="253">
        <f t="shared" si="522"/>
        <v>0</v>
      </c>
      <c r="AC358" s="251"/>
      <c r="AD358" s="251"/>
      <c r="AE358" s="251"/>
      <c r="AF358" s="251"/>
      <c r="AG358" s="251"/>
      <c r="AH358" s="251"/>
      <c r="AI358" s="251"/>
      <c r="AJ358" s="251"/>
      <c r="AK358" s="251"/>
      <c r="AL358" s="251"/>
      <c r="AM358" s="251"/>
      <c r="AN358" s="251"/>
      <c r="AO358" s="251"/>
      <c r="AP358" s="251"/>
      <c r="AQ358" s="251"/>
      <c r="AR358" s="251"/>
      <c r="AS358" s="251"/>
      <c r="AT358" s="251"/>
      <c r="AU358" s="251"/>
      <c r="AV358" s="251"/>
      <c r="AW358" s="251"/>
      <c r="AX358" s="251"/>
      <c r="AY358" s="251"/>
      <c r="AZ358" s="251"/>
      <c r="BA358" s="251"/>
      <c r="BB358" s="251"/>
      <c r="BC358" s="251"/>
      <c r="BD358" s="251"/>
      <c r="BE358" s="251"/>
      <c r="BF358" s="251"/>
      <c r="BG358" s="251"/>
      <c r="BH358" s="251"/>
      <c r="BI358" s="251"/>
      <c r="BJ358" s="251"/>
      <c r="BK358" s="251"/>
      <c r="BL358" s="251"/>
      <c r="BM358" s="251"/>
      <c r="BN358" s="251"/>
      <c r="BO358" s="251"/>
      <c r="BP358" s="251"/>
      <c r="BQ358" s="251"/>
      <c r="BR358" s="251"/>
      <c r="BS358" s="251"/>
      <c r="BT358" s="251"/>
      <c r="BU358" s="251"/>
      <c r="BV358" s="251"/>
      <c r="BW358" s="251"/>
      <c r="BX358" s="251"/>
      <c r="BY358" s="251"/>
      <c r="BZ358" s="251"/>
      <c r="CA358" s="251"/>
      <c r="CB358" s="251"/>
      <c r="CC358" s="251"/>
      <c r="CD358" s="251"/>
      <c r="CE358" s="251"/>
      <c r="CF358" s="251"/>
      <c r="CG358" s="251"/>
      <c r="CH358" s="251"/>
      <c r="CI358" s="251"/>
      <c r="CJ358" s="251"/>
      <c r="CK358" s="251"/>
      <c r="CL358" s="251"/>
      <c r="CM358" s="251"/>
      <c r="CN358" s="251"/>
      <c r="CO358" s="251"/>
      <c r="CP358" s="251"/>
      <c r="CQ358" s="251"/>
      <c r="CR358" s="251"/>
      <c r="CS358" s="251"/>
      <c r="CT358" s="251"/>
      <c r="CU358" s="251"/>
      <c r="CV358" s="251"/>
      <c r="CW358" s="251"/>
      <c r="CX358" s="251"/>
      <c r="CY358" s="251"/>
      <c r="CZ358" s="251"/>
      <c r="DA358" s="251"/>
      <c r="DB358" s="251"/>
      <c r="DC358" s="251"/>
      <c r="DD358" s="251"/>
      <c r="DE358" s="251"/>
      <c r="DF358" s="251"/>
      <c r="DG358" s="251"/>
      <c r="DH358" s="251"/>
      <c r="DI358" s="251"/>
      <c r="DJ358" s="251"/>
      <c r="DK358" s="251"/>
      <c r="DL358" s="251"/>
      <c r="DM358" s="251"/>
      <c r="DN358" s="251"/>
      <c r="DO358" s="251"/>
      <c r="DP358" s="251"/>
      <c r="DQ358" s="251"/>
      <c r="DR358" s="251"/>
      <c r="DS358" s="251"/>
      <c r="DT358" s="251"/>
      <c r="DU358" s="251"/>
      <c r="DV358" s="251"/>
      <c r="DW358" s="251"/>
      <c r="DX358" s="251"/>
      <c r="DY358" s="251"/>
      <c r="DZ358" s="251"/>
      <c r="EA358" s="251"/>
      <c r="EB358" s="251"/>
      <c r="EC358" s="251"/>
      <c r="ED358" s="251"/>
      <c r="EE358" s="251"/>
      <c r="EF358" s="251"/>
      <c r="EG358" s="251"/>
      <c r="EH358" s="251"/>
      <c r="EI358" s="251"/>
      <c r="EJ358" s="251"/>
      <c r="EK358" s="251"/>
      <c r="EL358" s="251"/>
      <c r="EM358" s="251"/>
      <c r="EN358" s="251"/>
      <c r="EO358" s="251"/>
      <c r="EP358" s="251"/>
      <c r="EQ358" s="251"/>
      <c r="ER358" s="251"/>
      <c r="ES358" s="251"/>
      <c r="ET358" s="251"/>
      <c r="EU358" s="251"/>
      <c r="EV358" s="251"/>
      <c r="EW358" s="251"/>
      <c r="EX358" s="251"/>
      <c r="EY358" s="251"/>
      <c r="EZ358" s="251"/>
      <c r="FA358" s="251"/>
      <c r="FB358" s="251"/>
      <c r="FC358" s="251"/>
      <c r="FD358" s="251"/>
      <c r="FE358" s="251"/>
      <c r="FF358" s="251"/>
      <c r="FG358" s="251"/>
      <c r="FH358" s="251"/>
      <c r="FI358" s="251"/>
      <c r="FJ358" s="251"/>
      <c r="FK358" s="251"/>
      <c r="FL358" s="251"/>
      <c r="FM358" s="251"/>
      <c r="FN358" s="251"/>
      <c r="FO358" s="251"/>
      <c r="FP358" s="251"/>
      <c r="FQ358" s="251"/>
      <c r="FR358" s="251"/>
      <c r="FS358" s="251"/>
      <c r="FT358" s="251"/>
      <c r="FU358" s="251"/>
      <c r="FV358" s="251"/>
      <c r="FW358" s="251"/>
      <c r="FX358" s="251"/>
      <c r="FY358" s="251"/>
      <c r="FZ358" s="251"/>
      <c r="GA358" s="251"/>
      <c r="GB358" s="251"/>
      <c r="GC358" s="251"/>
      <c r="GD358" s="251"/>
      <c r="GE358" s="251"/>
      <c r="GF358" s="251"/>
      <c r="GG358" s="251"/>
    </row>
    <row r="359" spans="1:189" s="254" customFormat="1" ht="31.5" x14ac:dyDescent="0.25">
      <c r="A359" s="259" t="s">
        <v>174</v>
      </c>
      <c r="B359" s="260">
        <f t="shared" si="536"/>
        <v>80535</v>
      </c>
      <c r="C359" s="260">
        <f t="shared" si="536"/>
        <v>80535</v>
      </c>
      <c r="D359" s="260">
        <f t="shared" si="536"/>
        <v>0</v>
      </c>
      <c r="E359" s="260"/>
      <c r="F359" s="260"/>
      <c r="G359" s="260">
        <f t="shared" si="572"/>
        <v>0</v>
      </c>
      <c r="H359" s="260"/>
      <c r="I359" s="260"/>
      <c r="J359" s="260">
        <f t="shared" si="505"/>
        <v>0</v>
      </c>
      <c r="K359" s="260">
        <f>85111-4576</f>
        <v>80535</v>
      </c>
      <c r="L359" s="260">
        <f>85111-4576</f>
        <v>80535</v>
      </c>
      <c r="M359" s="260">
        <f t="shared" si="508"/>
        <v>0</v>
      </c>
      <c r="N359" s="260"/>
      <c r="O359" s="260"/>
      <c r="P359" s="260">
        <f t="shared" si="511"/>
        <v>0</v>
      </c>
      <c r="Q359" s="260"/>
      <c r="R359" s="260"/>
      <c r="S359" s="260">
        <f t="shared" si="514"/>
        <v>0</v>
      </c>
      <c r="T359" s="260"/>
      <c r="U359" s="260"/>
      <c r="V359" s="260">
        <f t="shared" si="517"/>
        <v>0</v>
      </c>
      <c r="W359" s="260"/>
      <c r="X359" s="260"/>
      <c r="Y359" s="260">
        <f t="shared" si="519"/>
        <v>0</v>
      </c>
      <c r="Z359" s="260"/>
      <c r="AA359" s="260"/>
      <c r="AB359" s="260">
        <f t="shared" si="522"/>
        <v>0</v>
      </c>
    </row>
    <row r="360" spans="1:189" s="254" customFormat="1" ht="31.5" x14ac:dyDescent="0.25">
      <c r="A360" s="259" t="s">
        <v>443</v>
      </c>
      <c r="B360" s="260">
        <f t="shared" si="536"/>
        <v>17948</v>
      </c>
      <c r="C360" s="260">
        <f t="shared" si="536"/>
        <v>17948</v>
      </c>
      <c r="D360" s="260">
        <f t="shared" si="536"/>
        <v>0</v>
      </c>
      <c r="E360" s="260"/>
      <c r="F360" s="260"/>
      <c r="G360" s="260">
        <f t="shared" si="572"/>
        <v>0</v>
      </c>
      <c r="H360" s="260"/>
      <c r="I360" s="260"/>
      <c r="J360" s="260">
        <f t="shared" si="505"/>
        <v>0</v>
      </c>
      <c r="K360" s="260">
        <v>17948</v>
      </c>
      <c r="L360" s="260">
        <v>17948</v>
      </c>
      <c r="M360" s="260">
        <f t="shared" si="508"/>
        <v>0</v>
      </c>
      <c r="N360" s="260"/>
      <c r="O360" s="260"/>
      <c r="P360" s="260">
        <f t="shared" si="511"/>
        <v>0</v>
      </c>
      <c r="Q360" s="260"/>
      <c r="R360" s="260"/>
      <c r="S360" s="260">
        <f t="shared" si="514"/>
        <v>0</v>
      </c>
      <c r="T360" s="260"/>
      <c r="U360" s="260"/>
      <c r="V360" s="260">
        <f t="shared" si="517"/>
        <v>0</v>
      </c>
      <c r="W360" s="260"/>
      <c r="X360" s="260"/>
      <c r="Y360" s="260">
        <f t="shared" si="519"/>
        <v>0</v>
      </c>
      <c r="Z360" s="260"/>
      <c r="AA360" s="260"/>
      <c r="AB360" s="260">
        <f t="shared" si="522"/>
        <v>0</v>
      </c>
    </row>
    <row r="361" spans="1:189" s="254" customFormat="1" ht="63" x14ac:dyDescent="0.25">
      <c r="A361" s="268" t="s">
        <v>514</v>
      </c>
      <c r="B361" s="260">
        <f t="shared" si="536"/>
        <v>1440</v>
      </c>
      <c r="C361" s="260">
        <f t="shared" si="536"/>
        <v>1440</v>
      </c>
      <c r="D361" s="260">
        <f t="shared" si="536"/>
        <v>0</v>
      </c>
      <c r="E361" s="260"/>
      <c r="F361" s="260"/>
      <c r="G361" s="260">
        <f t="shared" si="572"/>
        <v>0</v>
      </c>
      <c r="H361" s="260"/>
      <c r="I361" s="260"/>
      <c r="J361" s="260">
        <f t="shared" si="505"/>
        <v>0</v>
      </c>
      <c r="K361" s="260"/>
      <c r="L361" s="260"/>
      <c r="M361" s="260">
        <f t="shared" si="508"/>
        <v>0</v>
      </c>
      <c r="N361" s="260">
        <v>1440</v>
      </c>
      <c r="O361" s="260">
        <v>1440</v>
      </c>
      <c r="P361" s="260">
        <f t="shared" si="511"/>
        <v>0</v>
      </c>
      <c r="Q361" s="260"/>
      <c r="R361" s="260"/>
      <c r="S361" s="260">
        <f t="shared" si="514"/>
        <v>0</v>
      </c>
      <c r="T361" s="260"/>
      <c r="U361" s="260"/>
      <c r="V361" s="260">
        <f t="shared" si="517"/>
        <v>0</v>
      </c>
      <c r="W361" s="260"/>
      <c r="X361" s="260"/>
      <c r="Y361" s="260">
        <f t="shared" si="519"/>
        <v>0</v>
      </c>
      <c r="Z361" s="260"/>
      <c r="AA361" s="260"/>
      <c r="AB361" s="260">
        <f t="shared" si="522"/>
        <v>0</v>
      </c>
    </row>
    <row r="362" spans="1:189" s="254" customFormat="1" ht="47.25" x14ac:dyDescent="0.25">
      <c r="A362" s="268" t="s">
        <v>560</v>
      </c>
      <c r="B362" s="260">
        <f t="shared" ref="B362" si="612">E362+H362+K362+N362+Q362+T362+Z362+W362</f>
        <v>0</v>
      </c>
      <c r="C362" s="260">
        <f t="shared" ref="C362" si="613">F362+I362+L362+O362+R362+U362+AA362+X362</f>
        <v>357067</v>
      </c>
      <c r="D362" s="260">
        <f t="shared" ref="D362" si="614">G362+J362+M362+P362+S362+V362+AB362+Y362</f>
        <v>357067</v>
      </c>
      <c r="E362" s="260"/>
      <c r="F362" s="260"/>
      <c r="G362" s="260">
        <f t="shared" si="572"/>
        <v>0</v>
      </c>
      <c r="H362" s="260"/>
      <c r="I362" s="260"/>
      <c r="J362" s="260">
        <f t="shared" si="505"/>
        <v>0</v>
      </c>
      <c r="K362" s="260"/>
      <c r="L362" s="260"/>
      <c r="M362" s="260">
        <f t="shared" si="508"/>
        <v>0</v>
      </c>
      <c r="N362" s="260">
        <v>0</v>
      </c>
      <c r="O362" s="260">
        <v>357067</v>
      </c>
      <c r="P362" s="260">
        <f t="shared" si="511"/>
        <v>357067</v>
      </c>
      <c r="Q362" s="260"/>
      <c r="R362" s="260"/>
      <c r="S362" s="260">
        <f t="shared" si="514"/>
        <v>0</v>
      </c>
      <c r="T362" s="260"/>
      <c r="U362" s="260"/>
      <c r="V362" s="260">
        <f t="shared" si="517"/>
        <v>0</v>
      </c>
      <c r="W362" s="260"/>
      <c r="X362" s="260"/>
      <c r="Y362" s="260">
        <f t="shared" si="519"/>
        <v>0</v>
      </c>
      <c r="Z362" s="260"/>
      <c r="AA362" s="260"/>
      <c r="AB362" s="260">
        <f t="shared" si="522"/>
        <v>0</v>
      </c>
    </row>
    <row r="363" spans="1:189" s="254" customFormat="1" ht="31.5" x14ac:dyDescent="0.25">
      <c r="A363" s="259" t="s">
        <v>451</v>
      </c>
      <c r="B363" s="260">
        <f t="shared" si="536"/>
        <v>11100</v>
      </c>
      <c r="C363" s="260">
        <f t="shared" si="536"/>
        <v>11100</v>
      </c>
      <c r="D363" s="260">
        <f t="shared" si="536"/>
        <v>0</v>
      </c>
      <c r="E363" s="260"/>
      <c r="F363" s="260"/>
      <c r="G363" s="260">
        <f t="shared" si="572"/>
        <v>0</v>
      </c>
      <c r="H363" s="260"/>
      <c r="I363" s="260"/>
      <c r="J363" s="260">
        <f t="shared" si="505"/>
        <v>0</v>
      </c>
      <c r="K363" s="260">
        <v>11100</v>
      </c>
      <c r="L363" s="260">
        <v>11100</v>
      </c>
      <c r="M363" s="260">
        <f t="shared" si="508"/>
        <v>0</v>
      </c>
      <c r="N363" s="260"/>
      <c r="O363" s="260"/>
      <c r="P363" s="260">
        <f t="shared" si="511"/>
        <v>0</v>
      </c>
      <c r="Q363" s="260"/>
      <c r="R363" s="260"/>
      <c r="S363" s="260">
        <f t="shared" si="514"/>
        <v>0</v>
      </c>
      <c r="T363" s="260"/>
      <c r="U363" s="260"/>
      <c r="V363" s="260">
        <f t="shared" si="517"/>
        <v>0</v>
      </c>
      <c r="W363" s="260"/>
      <c r="X363" s="260"/>
      <c r="Y363" s="260">
        <f t="shared" si="519"/>
        <v>0</v>
      </c>
      <c r="Z363" s="260"/>
      <c r="AA363" s="260"/>
      <c r="AB363" s="260">
        <f t="shared" si="522"/>
        <v>0</v>
      </c>
    </row>
    <row r="364" spans="1:189" s="254" customFormat="1" x14ac:dyDescent="0.25">
      <c r="A364" s="256" t="s">
        <v>175</v>
      </c>
      <c r="B364" s="260">
        <f t="shared" si="536"/>
        <v>4450</v>
      </c>
      <c r="C364" s="260">
        <f t="shared" si="536"/>
        <v>4450</v>
      </c>
      <c r="D364" s="260">
        <f t="shared" si="536"/>
        <v>0</v>
      </c>
      <c r="E364" s="260"/>
      <c r="F364" s="260"/>
      <c r="G364" s="260">
        <f t="shared" si="572"/>
        <v>0</v>
      </c>
      <c r="H364" s="260"/>
      <c r="I364" s="260"/>
      <c r="J364" s="260">
        <f t="shared" si="505"/>
        <v>0</v>
      </c>
      <c r="K364" s="260">
        <f>2000+2450</f>
        <v>4450</v>
      </c>
      <c r="L364" s="260">
        <f>2000+2450</f>
        <v>4450</v>
      </c>
      <c r="M364" s="260">
        <f t="shared" si="508"/>
        <v>0</v>
      </c>
      <c r="N364" s="260"/>
      <c r="O364" s="260"/>
      <c r="P364" s="260">
        <f t="shared" si="511"/>
        <v>0</v>
      </c>
      <c r="Q364" s="260"/>
      <c r="R364" s="260"/>
      <c r="S364" s="260">
        <f t="shared" si="514"/>
        <v>0</v>
      </c>
      <c r="T364" s="260"/>
      <c r="U364" s="260"/>
      <c r="V364" s="260">
        <f t="shared" si="517"/>
        <v>0</v>
      </c>
      <c r="W364" s="260"/>
      <c r="X364" s="260"/>
      <c r="Y364" s="260">
        <f t="shared" si="519"/>
        <v>0</v>
      </c>
      <c r="Z364" s="260"/>
      <c r="AA364" s="260"/>
      <c r="AB364" s="260">
        <f t="shared" si="522"/>
        <v>0</v>
      </c>
    </row>
    <row r="365" spans="1:189" s="254" customFormat="1" x14ac:dyDescent="0.25">
      <c r="A365" s="256" t="s">
        <v>444</v>
      </c>
      <c r="B365" s="260">
        <f t="shared" si="536"/>
        <v>17173</v>
      </c>
      <c r="C365" s="260">
        <f t="shared" si="536"/>
        <v>17173</v>
      </c>
      <c r="D365" s="260">
        <f t="shared" si="536"/>
        <v>0</v>
      </c>
      <c r="E365" s="260"/>
      <c r="F365" s="260"/>
      <c r="G365" s="260">
        <f t="shared" si="572"/>
        <v>0</v>
      </c>
      <c r="H365" s="260"/>
      <c r="I365" s="260"/>
      <c r="J365" s="260">
        <f t="shared" si="505"/>
        <v>0</v>
      </c>
      <c r="K365" s="260">
        <f>25980-6507-2300</f>
        <v>17173</v>
      </c>
      <c r="L365" s="260">
        <f>25980-6507-2300</f>
        <v>17173</v>
      </c>
      <c r="M365" s="260">
        <f t="shared" si="508"/>
        <v>0</v>
      </c>
      <c r="N365" s="260"/>
      <c r="O365" s="260"/>
      <c r="P365" s="260">
        <f t="shared" si="511"/>
        <v>0</v>
      </c>
      <c r="Q365" s="260"/>
      <c r="R365" s="260"/>
      <c r="S365" s="260">
        <f t="shared" si="514"/>
        <v>0</v>
      </c>
      <c r="T365" s="260"/>
      <c r="U365" s="260"/>
      <c r="V365" s="260">
        <f t="shared" si="517"/>
        <v>0</v>
      </c>
      <c r="W365" s="260"/>
      <c r="X365" s="260"/>
      <c r="Y365" s="260">
        <f t="shared" si="519"/>
        <v>0</v>
      </c>
      <c r="Z365" s="260"/>
      <c r="AA365" s="260"/>
      <c r="AB365" s="260">
        <f t="shared" si="522"/>
        <v>0</v>
      </c>
    </row>
    <row r="366" spans="1:189" s="254" customFormat="1" x14ac:dyDescent="0.25">
      <c r="A366" s="256" t="s">
        <v>512</v>
      </c>
      <c r="B366" s="260">
        <f t="shared" si="536"/>
        <v>23400</v>
      </c>
      <c r="C366" s="260">
        <f t="shared" si="536"/>
        <v>23400</v>
      </c>
      <c r="D366" s="260">
        <f t="shared" si="536"/>
        <v>0</v>
      </c>
      <c r="E366" s="260"/>
      <c r="F366" s="260"/>
      <c r="G366" s="260"/>
      <c r="H366" s="260"/>
      <c r="I366" s="260"/>
      <c r="J366" s="260"/>
      <c r="K366" s="260">
        <v>23400</v>
      </c>
      <c r="L366" s="260">
        <v>23400</v>
      </c>
      <c r="M366" s="260">
        <f t="shared" si="508"/>
        <v>0</v>
      </c>
      <c r="N366" s="260"/>
      <c r="O366" s="260"/>
      <c r="P366" s="260"/>
      <c r="Q366" s="260"/>
      <c r="R366" s="260"/>
      <c r="S366" s="260"/>
      <c r="T366" s="260"/>
      <c r="U366" s="260"/>
      <c r="V366" s="260"/>
      <c r="W366" s="260"/>
      <c r="X366" s="260"/>
      <c r="Y366" s="260"/>
      <c r="Z366" s="260"/>
      <c r="AA366" s="260"/>
      <c r="AB366" s="260"/>
    </row>
    <row r="367" spans="1:189" s="254" customFormat="1" x14ac:dyDescent="0.25">
      <c r="A367" s="256" t="s">
        <v>510</v>
      </c>
      <c r="B367" s="260">
        <f t="shared" si="536"/>
        <v>2234</v>
      </c>
      <c r="C367" s="260">
        <f t="shared" si="536"/>
        <v>2234</v>
      </c>
      <c r="D367" s="260">
        <f t="shared" si="536"/>
        <v>0</v>
      </c>
      <c r="E367" s="260"/>
      <c r="F367" s="260"/>
      <c r="G367" s="260">
        <f t="shared" si="572"/>
        <v>0</v>
      </c>
      <c r="H367" s="260"/>
      <c r="I367" s="260"/>
      <c r="J367" s="260">
        <f t="shared" si="505"/>
        <v>0</v>
      </c>
      <c r="K367" s="260">
        <v>2234</v>
      </c>
      <c r="L367" s="260">
        <v>2234</v>
      </c>
      <c r="M367" s="260">
        <f t="shared" si="508"/>
        <v>0</v>
      </c>
      <c r="N367" s="260"/>
      <c r="O367" s="260"/>
      <c r="P367" s="260">
        <f t="shared" si="511"/>
        <v>0</v>
      </c>
      <c r="Q367" s="260"/>
      <c r="R367" s="260"/>
      <c r="S367" s="260">
        <f t="shared" si="514"/>
        <v>0</v>
      </c>
      <c r="T367" s="260"/>
      <c r="U367" s="260"/>
      <c r="V367" s="260">
        <f t="shared" si="517"/>
        <v>0</v>
      </c>
      <c r="W367" s="260"/>
      <c r="X367" s="260"/>
      <c r="Y367" s="260">
        <f t="shared" si="519"/>
        <v>0</v>
      </c>
      <c r="Z367" s="260"/>
      <c r="AA367" s="260"/>
      <c r="AB367" s="260">
        <f t="shared" si="522"/>
        <v>0</v>
      </c>
    </row>
    <row r="368" spans="1:189" s="254" customFormat="1" ht="26.25" customHeight="1" x14ac:dyDescent="0.25">
      <c r="A368" s="256" t="s">
        <v>511</v>
      </c>
      <c r="B368" s="260">
        <f t="shared" si="536"/>
        <v>1566</v>
      </c>
      <c r="C368" s="260">
        <f t="shared" si="536"/>
        <v>1566</v>
      </c>
      <c r="D368" s="260">
        <f t="shared" si="536"/>
        <v>0</v>
      </c>
      <c r="E368" s="260"/>
      <c r="F368" s="260"/>
      <c r="G368" s="260">
        <f t="shared" si="572"/>
        <v>0</v>
      </c>
      <c r="H368" s="260"/>
      <c r="I368" s="260"/>
      <c r="J368" s="260">
        <f t="shared" si="505"/>
        <v>0</v>
      </c>
      <c r="K368" s="260">
        <v>1566</v>
      </c>
      <c r="L368" s="260">
        <v>1566</v>
      </c>
      <c r="M368" s="260">
        <f t="shared" si="508"/>
        <v>0</v>
      </c>
      <c r="N368" s="260"/>
      <c r="O368" s="260"/>
      <c r="P368" s="260">
        <f t="shared" si="511"/>
        <v>0</v>
      </c>
      <c r="Q368" s="260"/>
      <c r="R368" s="260"/>
      <c r="S368" s="260">
        <f t="shared" si="514"/>
        <v>0</v>
      </c>
      <c r="T368" s="260"/>
      <c r="U368" s="260"/>
      <c r="V368" s="260">
        <f t="shared" si="517"/>
        <v>0</v>
      </c>
      <c r="W368" s="260"/>
      <c r="X368" s="260"/>
      <c r="Y368" s="260">
        <f t="shared" si="519"/>
        <v>0</v>
      </c>
      <c r="Z368" s="260"/>
      <c r="AA368" s="260"/>
      <c r="AB368" s="260">
        <f t="shared" si="522"/>
        <v>0</v>
      </c>
    </row>
    <row r="369" spans="1:189" s="254" customFormat="1" ht="31.5" x14ac:dyDescent="0.25">
      <c r="A369" s="256" t="s">
        <v>176</v>
      </c>
      <c r="B369" s="260">
        <f t="shared" si="536"/>
        <v>0</v>
      </c>
      <c r="C369" s="260">
        <f t="shared" si="536"/>
        <v>0</v>
      </c>
      <c r="D369" s="260">
        <f t="shared" si="536"/>
        <v>0</v>
      </c>
      <c r="E369" s="260"/>
      <c r="F369" s="260"/>
      <c r="G369" s="260">
        <f t="shared" si="572"/>
        <v>0</v>
      </c>
      <c r="H369" s="260"/>
      <c r="I369" s="260"/>
      <c r="J369" s="260">
        <f t="shared" si="505"/>
        <v>0</v>
      </c>
      <c r="K369" s="260">
        <f>3800-3800</f>
        <v>0</v>
      </c>
      <c r="L369" s="260">
        <f>3800-3800</f>
        <v>0</v>
      </c>
      <c r="M369" s="260">
        <f t="shared" si="508"/>
        <v>0</v>
      </c>
      <c r="N369" s="260"/>
      <c r="O369" s="260"/>
      <c r="P369" s="260">
        <f t="shared" si="511"/>
        <v>0</v>
      </c>
      <c r="Q369" s="260"/>
      <c r="R369" s="260"/>
      <c r="S369" s="260">
        <f t="shared" si="514"/>
        <v>0</v>
      </c>
      <c r="T369" s="260"/>
      <c r="U369" s="260"/>
      <c r="V369" s="260">
        <f t="shared" si="517"/>
        <v>0</v>
      </c>
      <c r="W369" s="260"/>
      <c r="X369" s="260"/>
      <c r="Y369" s="260">
        <f t="shared" si="519"/>
        <v>0</v>
      </c>
      <c r="Z369" s="260"/>
      <c r="AA369" s="260"/>
      <c r="AB369" s="260">
        <f t="shared" si="522"/>
        <v>0</v>
      </c>
    </row>
    <row r="370" spans="1:189" s="254" customFormat="1" ht="31.5" x14ac:dyDescent="0.25">
      <c r="A370" s="259" t="s">
        <v>177</v>
      </c>
      <c r="B370" s="260">
        <f t="shared" si="536"/>
        <v>3290</v>
      </c>
      <c r="C370" s="260">
        <f t="shared" si="536"/>
        <v>3290</v>
      </c>
      <c r="D370" s="260">
        <f t="shared" si="536"/>
        <v>0</v>
      </c>
      <c r="E370" s="260"/>
      <c r="F370" s="260"/>
      <c r="G370" s="260">
        <f t="shared" si="572"/>
        <v>0</v>
      </c>
      <c r="H370" s="260"/>
      <c r="I370" s="260"/>
      <c r="J370" s="260">
        <f t="shared" si="505"/>
        <v>0</v>
      </c>
      <c r="K370" s="260">
        <v>3290</v>
      </c>
      <c r="L370" s="260">
        <v>3290</v>
      </c>
      <c r="M370" s="260">
        <f t="shared" si="508"/>
        <v>0</v>
      </c>
      <c r="N370" s="260"/>
      <c r="O370" s="260"/>
      <c r="P370" s="260">
        <f t="shared" si="511"/>
        <v>0</v>
      </c>
      <c r="Q370" s="260"/>
      <c r="R370" s="260"/>
      <c r="S370" s="260">
        <f t="shared" si="514"/>
        <v>0</v>
      </c>
      <c r="T370" s="260"/>
      <c r="U370" s="260"/>
      <c r="V370" s="260">
        <f t="shared" si="517"/>
        <v>0</v>
      </c>
      <c r="W370" s="260"/>
      <c r="X370" s="260"/>
      <c r="Y370" s="260">
        <f t="shared" si="519"/>
        <v>0</v>
      </c>
      <c r="Z370" s="260"/>
      <c r="AA370" s="260"/>
      <c r="AB370" s="260">
        <f t="shared" si="522"/>
        <v>0</v>
      </c>
    </row>
    <row r="371" spans="1:189" s="254" customFormat="1" x14ac:dyDescent="0.25">
      <c r="A371" s="259" t="s">
        <v>178</v>
      </c>
      <c r="B371" s="260">
        <f t="shared" si="536"/>
        <v>4000</v>
      </c>
      <c r="C371" s="260">
        <f t="shared" si="536"/>
        <v>4000</v>
      </c>
      <c r="D371" s="260">
        <f t="shared" si="536"/>
        <v>0</v>
      </c>
      <c r="E371" s="260"/>
      <c r="F371" s="260"/>
      <c r="G371" s="260">
        <f t="shared" si="572"/>
        <v>0</v>
      </c>
      <c r="H371" s="260"/>
      <c r="I371" s="260"/>
      <c r="J371" s="260">
        <f t="shared" si="505"/>
        <v>0</v>
      </c>
      <c r="K371" s="260">
        <v>4000</v>
      </c>
      <c r="L371" s="260">
        <v>4000</v>
      </c>
      <c r="M371" s="260">
        <f t="shared" si="508"/>
        <v>0</v>
      </c>
      <c r="N371" s="260"/>
      <c r="O371" s="260"/>
      <c r="P371" s="260">
        <f t="shared" si="511"/>
        <v>0</v>
      </c>
      <c r="Q371" s="260"/>
      <c r="R371" s="260"/>
      <c r="S371" s="260">
        <f t="shared" si="514"/>
        <v>0</v>
      </c>
      <c r="T371" s="260"/>
      <c r="U371" s="260"/>
      <c r="V371" s="260">
        <f t="shared" si="517"/>
        <v>0</v>
      </c>
      <c r="W371" s="260"/>
      <c r="X371" s="260"/>
      <c r="Y371" s="260">
        <f t="shared" si="519"/>
        <v>0</v>
      </c>
      <c r="Z371" s="260"/>
      <c r="AA371" s="260"/>
      <c r="AB371" s="260">
        <f t="shared" si="522"/>
        <v>0</v>
      </c>
    </row>
    <row r="372" spans="1:189" s="254" customFormat="1" x14ac:dyDescent="0.25">
      <c r="A372" s="256" t="s">
        <v>179</v>
      </c>
      <c r="B372" s="260">
        <f t="shared" si="536"/>
        <v>2800</v>
      </c>
      <c r="C372" s="260">
        <f t="shared" si="536"/>
        <v>2800</v>
      </c>
      <c r="D372" s="260">
        <f t="shared" si="536"/>
        <v>0</v>
      </c>
      <c r="E372" s="260"/>
      <c r="F372" s="260"/>
      <c r="G372" s="260">
        <f t="shared" si="572"/>
        <v>0</v>
      </c>
      <c r="H372" s="260"/>
      <c r="I372" s="260"/>
      <c r="J372" s="260">
        <f t="shared" si="505"/>
        <v>0</v>
      </c>
      <c r="K372" s="260">
        <v>2800</v>
      </c>
      <c r="L372" s="260">
        <v>2800</v>
      </c>
      <c r="M372" s="260">
        <f t="shared" si="508"/>
        <v>0</v>
      </c>
      <c r="N372" s="260"/>
      <c r="O372" s="260"/>
      <c r="P372" s="260">
        <f t="shared" si="511"/>
        <v>0</v>
      </c>
      <c r="Q372" s="260"/>
      <c r="R372" s="260"/>
      <c r="S372" s="260">
        <f t="shared" si="514"/>
        <v>0</v>
      </c>
      <c r="T372" s="260"/>
      <c r="U372" s="260"/>
      <c r="V372" s="260">
        <f t="shared" si="517"/>
        <v>0</v>
      </c>
      <c r="W372" s="260"/>
      <c r="X372" s="260"/>
      <c r="Y372" s="260">
        <f t="shared" si="519"/>
        <v>0</v>
      </c>
      <c r="Z372" s="260"/>
      <c r="AA372" s="260"/>
      <c r="AB372" s="260">
        <f t="shared" si="522"/>
        <v>0</v>
      </c>
    </row>
    <row r="373" spans="1:189" s="254" customFormat="1" ht="31.5" x14ac:dyDescent="0.25">
      <c r="A373" s="256" t="s">
        <v>180</v>
      </c>
      <c r="B373" s="260">
        <f t="shared" si="536"/>
        <v>27932</v>
      </c>
      <c r="C373" s="260">
        <f t="shared" si="536"/>
        <v>27932</v>
      </c>
      <c r="D373" s="260">
        <f t="shared" si="536"/>
        <v>0</v>
      </c>
      <c r="E373" s="260"/>
      <c r="F373" s="260"/>
      <c r="G373" s="260">
        <f t="shared" si="572"/>
        <v>0</v>
      </c>
      <c r="H373" s="260"/>
      <c r="I373" s="260"/>
      <c r="J373" s="260">
        <f t="shared" si="505"/>
        <v>0</v>
      </c>
      <c r="K373" s="260">
        <v>27932</v>
      </c>
      <c r="L373" s="260">
        <v>27932</v>
      </c>
      <c r="M373" s="260">
        <f t="shared" si="508"/>
        <v>0</v>
      </c>
      <c r="N373" s="260"/>
      <c r="O373" s="260"/>
      <c r="P373" s="260">
        <f t="shared" si="511"/>
        <v>0</v>
      </c>
      <c r="Q373" s="260"/>
      <c r="R373" s="260"/>
      <c r="S373" s="260">
        <f t="shared" si="514"/>
        <v>0</v>
      </c>
      <c r="T373" s="260"/>
      <c r="U373" s="260"/>
      <c r="V373" s="260">
        <f t="shared" si="517"/>
        <v>0</v>
      </c>
      <c r="W373" s="260"/>
      <c r="X373" s="260"/>
      <c r="Y373" s="260">
        <f t="shared" si="519"/>
        <v>0</v>
      </c>
      <c r="Z373" s="260"/>
      <c r="AA373" s="260"/>
      <c r="AB373" s="260">
        <f t="shared" si="522"/>
        <v>0</v>
      </c>
    </row>
    <row r="374" spans="1:189" s="254" customFormat="1" ht="47.25" x14ac:dyDescent="0.25">
      <c r="A374" s="259" t="s">
        <v>188</v>
      </c>
      <c r="B374" s="260">
        <f t="shared" si="536"/>
        <v>62000</v>
      </c>
      <c r="C374" s="260">
        <f t="shared" si="536"/>
        <v>62000</v>
      </c>
      <c r="D374" s="260">
        <f t="shared" si="536"/>
        <v>0</v>
      </c>
      <c r="E374" s="260"/>
      <c r="F374" s="260"/>
      <c r="G374" s="260">
        <f t="shared" si="572"/>
        <v>0</v>
      </c>
      <c r="H374" s="260"/>
      <c r="I374" s="260"/>
      <c r="J374" s="260">
        <f t="shared" si="505"/>
        <v>0</v>
      </c>
      <c r="K374" s="260">
        <v>62000</v>
      </c>
      <c r="L374" s="260">
        <v>62000</v>
      </c>
      <c r="M374" s="260">
        <f t="shared" si="508"/>
        <v>0</v>
      </c>
      <c r="N374" s="260"/>
      <c r="O374" s="260"/>
      <c r="P374" s="260">
        <f t="shared" si="511"/>
        <v>0</v>
      </c>
      <c r="Q374" s="260"/>
      <c r="R374" s="260"/>
      <c r="S374" s="260">
        <f t="shared" si="514"/>
        <v>0</v>
      </c>
      <c r="T374" s="260"/>
      <c r="U374" s="260"/>
      <c r="V374" s="260">
        <f t="shared" si="517"/>
        <v>0</v>
      </c>
      <c r="W374" s="260"/>
      <c r="X374" s="260"/>
      <c r="Y374" s="260">
        <f t="shared" si="519"/>
        <v>0</v>
      </c>
      <c r="Z374" s="260"/>
      <c r="AA374" s="260"/>
      <c r="AB374" s="260">
        <f t="shared" si="522"/>
        <v>0</v>
      </c>
      <c r="FN374" s="251"/>
      <c r="FO374" s="251"/>
      <c r="FP374" s="251"/>
      <c r="FQ374" s="251"/>
      <c r="FR374" s="251"/>
      <c r="FS374" s="251"/>
      <c r="FT374" s="251"/>
      <c r="FU374" s="251"/>
      <c r="FV374" s="251"/>
      <c r="FW374" s="251"/>
      <c r="FX374" s="251"/>
      <c r="FY374" s="251"/>
      <c r="FZ374" s="251"/>
      <c r="GA374" s="251"/>
      <c r="GB374" s="251"/>
      <c r="GC374" s="251"/>
      <c r="GD374" s="251"/>
      <c r="GE374" s="251"/>
      <c r="GF374" s="251"/>
      <c r="GG374" s="251"/>
    </row>
    <row r="375" spans="1:189" s="254" customFormat="1" ht="31.5" x14ac:dyDescent="0.25">
      <c r="A375" s="256" t="s">
        <v>181</v>
      </c>
      <c r="B375" s="260">
        <f t="shared" si="536"/>
        <v>4100</v>
      </c>
      <c r="C375" s="260">
        <f t="shared" si="536"/>
        <v>4100</v>
      </c>
      <c r="D375" s="260">
        <f t="shared" si="536"/>
        <v>0</v>
      </c>
      <c r="E375" s="260"/>
      <c r="F375" s="260"/>
      <c r="G375" s="260">
        <f t="shared" si="572"/>
        <v>0</v>
      </c>
      <c r="H375" s="260"/>
      <c r="I375" s="260"/>
      <c r="J375" s="260">
        <f t="shared" si="505"/>
        <v>0</v>
      </c>
      <c r="K375" s="269">
        <v>4100</v>
      </c>
      <c r="L375" s="269">
        <v>4100</v>
      </c>
      <c r="M375" s="260">
        <f t="shared" si="508"/>
        <v>0</v>
      </c>
      <c r="N375" s="260"/>
      <c r="O375" s="260"/>
      <c r="P375" s="260">
        <f t="shared" si="511"/>
        <v>0</v>
      </c>
      <c r="Q375" s="260"/>
      <c r="R375" s="260"/>
      <c r="S375" s="260">
        <f t="shared" si="514"/>
        <v>0</v>
      </c>
      <c r="T375" s="260"/>
      <c r="U375" s="260"/>
      <c r="V375" s="260">
        <f t="shared" si="517"/>
        <v>0</v>
      </c>
      <c r="W375" s="260"/>
      <c r="X375" s="260"/>
      <c r="Y375" s="260">
        <f t="shared" si="519"/>
        <v>0</v>
      </c>
      <c r="Z375" s="260"/>
      <c r="AA375" s="260"/>
      <c r="AB375" s="260">
        <f t="shared" si="522"/>
        <v>0</v>
      </c>
    </row>
    <row r="376" spans="1:189" s="254" customFormat="1" x14ac:dyDescent="0.25">
      <c r="A376" s="252" t="s">
        <v>110</v>
      </c>
      <c r="B376" s="253">
        <f t="shared" si="536"/>
        <v>81200</v>
      </c>
      <c r="C376" s="253">
        <f t="shared" si="536"/>
        <v>49800</v>
      </c>
      <c r="D376" s="253">
        <f t="shared" si="536"/>
        <v>-31400</v>
      </c>
      <c r="E376" s="253">
        <f>SUM(E377:E378)</f>
        <v>0</v>
      </c>
      <c r="F376" s="253">
        <f>SUM(F377:F378)</f>
        <v>0</v>
      </c>
      <c r="G376" s="253">
        <f t="shared" si="572"/>
        <v>0</v>
      </c>
      <c r="H376" s="253">
        <f t="shared" ref="H376" si="615">SUM(H377:H378)</f>
        <v>0</v>
      </c>
      <c r="I376" s="253">
        <f t="shared" ref="I376" si="616">SUM(I377:I378)</f>
        <v>0</v>
      </c>
      <c r="J376" s="253">
        <f t="shared" si="505"/>
        <v>0</v>
      </c>
      <c r="K376" s="253">
        <f t="shared" ref="K376" si="617">SUM(K377:K378)</f>
        <v>25200</v>
      </c>
      <c r="L376" s="253">
        <f t="shared" ref="L376" si="618">SUM(L377:L378)</f>
        <v>25200</v>
      </c>
      <c r="M376" s="253">
        <f t="shared" si="508"/>
        <v>0</v>
      </c>
      <c r="N376" s="253">
        <f t="shared" ref="N376" si="619">SUM(N377:N378)</f>
        <v>0</v>
      </c>
      <c r="O376" s="253">
        <f t="shared" ref="O376" si="620">SUM(O377:O378)</f>
        <v>0</v>
      </c>
      <c r="P376" s="253">
        <f t="shared" si="511"/>
        <v>0</v>
      </c>
      <c r="Q376" s="253">
        <f t="shared" ref="Q376" si="621">SUM(Q377:Q378)</f>
        <v>56000</v>
      </c>
      <c r="R376" s="253">
        <f t="shared" ref="R376" si="622">SUM(R377:R378)</f>
        <v>24600</v>
      </c>
      <c r="S376" s="253">
        <f t="shared" si="514"/>
        <v>-31400</v>
      </c>
      <c r="T376" s="253">
        <f t="shared" ref="T376" si="623">SUM(T377:T378)</f>
        <v>0</v>
      </c>
      <c r="U376" s="253">
        <f t="shared" ref="U376" si="624">SUM(U377:U378)</f>
        <v>0</v>
      </c>
      <c r="V376" s="253">
        <f t="shared" si="517"/>
        <v>0</v>
      </c>
      <c r="W376" s="253">
        <f t="shared" ref="W376:X376" si="625">SUM(W377:W378)</f>
        <v>0</v>
      </c>
      <c r="X376" s="253">
        <f t="shared" si="625"/>
        <v>0</v>
      </c>
      <c r="Y376" s="253">
        <f t="shared" si="519"/>
        <v>0</v>
      </c>
      <c r="Z376" s="253">
        <f t="shared" ref="Z376" si="626">SUM(Z377:Z378)</f>
        <v>0</v>
      </c>
      <c r="AA376" s="253">
        <f t="shared" ref="AA376" si="627">SUM(AA377:AA378)</f>
        <v>0</v>
      </c>
      <c r="AB376" s="253">
        <f t="shared" si="522"/>
        <v>0</v>
      </c>
      <c r="AC376" s="251"/>
      <c r="AD376" s="251"/>
      <c r="AE376" s="251"/>
      <c r="AF376" s="251"/>
      <c r="AG376" s="251"/>
      <c r="AH376" s="251"/>
      <c r="AI376" s="251"/>
      <c r="AJ376" s="251"/>
      <c r="AK376" s="251"/>
      <c r="AL376" s="251"/>
      <c r="AM376" s="251"/>
      <c r="AN376" s="251"/>
      <c r="AO376" s="251"/>
      <c r="AP376" s="251"/>
      <c r="AQ376" s="251"/>
      <c r="AR376" s="251"/>
      <c r="AS376" s="251"/>
      <c r="AT376" s="251"/>
      <c r="AU376" s="251"/>
      <c r="AV376" s="251"/>
      <c r="AW376" s="251"/>
      <c r="AX376" s="251"/>
      <c r="AY376" s="251"/>
      <c r="AZ376" s="251"/>
      <c r="BA376" s="251"/>
      <c r="BB376" s="251"/>
      <c r="BC376" s="251"/>
      <c r="BD376" s="251"/>
      <c r="BE376" s="251"/>
      <c r="BF376" s="251"/>
      <c r="BG376" s="251"/>
      <c r="BH376" s="251"/>
      <c r="BI376" s="251"/>
      <c r="BJ376" s="251"/>
      <c r="BK376" s="251"/>
      <c r="BL376" s="251"/>
      <c r="BM376" s="251"/>
      <c r="BN376" s="251"/>
      <c r="BO376" s="251"/>
      <c r="BP376" s="251"/>
      <c r="BQ376" s="251"/>
      <c r="BR376" s="251"/>
      <c r="BS376" s="251"/>
      <c r="BT376" s="251"/>
      <c r="BU376" s="251"/>
      <c r="BV376" s="251"/>
      <c r="BW376" s="251"/>
      <c r="BX376" s="251"/>
      <c r="BY376" s="251"/>
      <c r="BZ376" s="251"/>
      <c r="CA376" s="251"/>
      <c r="CB376" s="251"/>
      <c r="CC376" s="251"/>
      <c r="CD376" s="251"/>
      <c r="CE376" s="251"/>
      <c r="CF376" s="251"/>
      <c r="CG376" s="251"/>
      <c r="CH376" s="251"/>
      <c r="CI376" s="251"/>
      <c r="CJ376" s="251"/>
      <c r="CK376" s="251"/>
      <c r="CL376" s="251"/>
      <c r="CM376" s="251"/>
      <c r="CN376" s="251"/>
      <c r="CO376" s="251"/>
      <c r="CP376" s="251"/>
      <c r="CQ376" s="251"/>
      <c r="CR376" s="251"/>
      <c r="CS376" s="251"/>
      <c r="CT376" s="251"/>
      <c r="CU376" s="251"/>
      <c r="CV376" s="251"/>
      <c r="CW376" s="251"/>
      <c r="CX376" s="251"/>
      <c r="CY376" s="251"/>
      <c r="CZ376" s="251"/>
      <c r="DA376" s="251"/>
      <c r="DB376" s="251"/>
      <c r="DC376" s="251"/>
      <c r="DD376" s="251"/>
      <c r="DE376" s="251"/>
      <c r="DF376" s="251"/>
      <c r="DG376" s="251"/>
      <c r="DH376" s="251"/>
      <c r="DI376" s="251"/>
      <c r="DJ376" s="251"/>
      <c r="DK376" s="251"/>
      <c r="DL376" s="251"/>
      <c r="DM376" s="251"/>
      <c r="DN376" s="251"/>
      <c r="DO376" s="251"/>
      <c r="DP376" s="251"/>
      <c r="DQ376" s="251"/>
      <c r="DR376" s="251"/>
      <c r="DS376" s="251"/>
      <c r="DT376" s="251"/>
      <c r="DU376" s="251"/>
      <c r="DV376" s="251"/>
      <c r="DW376" s="251"/>
      <c r="DX376" s="251"/>
      <c r="DY376" s="251"/>
      <c r="DZ376" s="251"/>
      <c r="EA376" s="251"/>
      <c r="EB376" s="251"/>
      <c r="EC376" s="251"/>
      <c r="ED376" s="251"/>
      <c r="EE376" s="251"/>
      <c r="EF376" s="251"/>
      <c r="EG376" s="251"/>
      <c r="EH376" s="251"/>
      <c r="EI376" s="251"/>
      <c r="EJ376" s="251"/>
      <c r="EK376" s="251"/>
      <c r="EL376" s="251"/>
      <c r="EM376" s="251"/>
      <c r="EN376" s="251"/>
      <c r="EO376" s="251"/>
      <c r="EP376" s="251"/>
      <c r="EQ376" s="251"/>
      <c r="ER376" s="251"/>
      <c r="ES376" s="251"/>
      <c r="ET376" s="251"/>
      <c r="EU376" s="251"/>
      <c r="EV376" s="251"/>
      <c r="EW376" s="251"/>
      <c r="EX376" s="251"/>
      <c r="EY376" s="251"/>
      <c r="EZ376" s="251"/>
      <c r="FA376" s="251"/>
      <c r="FB376" s="251"/>
      <c r="FC376" s="251"/>
      <c r="FD376" s="251"/>
      <c r="FE376" s="251"/>
      <c r="FF376" s="251"/>
      <c r="FG376" s="251"/>
      <c r="FH376" s="251"/>
      <c r="FI376" s="251"/>
      <c r="FJ376" s="251"/>
      <c r="FK376" s="251"/>
      <c r="FL376" s="251"/>
      <c r="FM376" s="251"/>
      <c r="FN376" s="251"/>
      <c r="FO376" s="251"/>
      <c r="FP376" s="251"/>
      <c r="FQ376" s="251"/>
      <c r="FR376" s="251"/>
      <c r="FS376" s="251"/>
      <c r="FT376" s="251"/>
      <c r="FU376" s="251"/>
      <c r="FV376" s="251"/>
      <c r="FW376" s="251"/>
      <c r="FX376" s="251"/>
      <c r="FY376" s="251"/>
      <c r="FZ376" s="251"/>
      <c r="GA376" s="251"/>
      <c r="GB376" s="251"/>
      <c r="GC376" s="251"/>
      <c r="GD376" s="251"/>
      <c r="GE376" s="251"/>
      <c r="GF376" s="251"/>
      <c r="GG376" s="251"/>
    </row>
    <row r="377" spans="1:189" s="254" customFormat="1" ht="31.5" x14ac:dyDescent="0.25">
      <c r="A377" s="259" t="s">
        <v>182</v>
      </c>
      <c r="B377" s="260">
        <f t="shared" si="536"/>
        <v>56000</v>
      </c>
      <c r="C377" s="260">
        <f t="shared" si="536"/>
        <v>24600</v>
      </c>
      <c r="D377" s="260">
        <f t="shared" si="536"/>
        <v>-31400</v>
      </c>
      <c r="E377" s="260"/>
      <c r="F377" s="260"/>
      <c r="G377" s="260">
        <f t="shared" si="572"/>
        <v>0</v>
      </c>
      <c r="H377" s="260"/>
      <c r="I377" s="260"/>
      <c r="J377" s="260">
        <f t="shared" si="505"/>
        <v>0</v>
      </c>
      <c r="K377" s="260"/>
      <c r="L377" s="260"/>
      <c r="M377" s="260">
        <f t="shared" si="508"/>
        <v>0</v>
      </c>
      <c r="N377" s="260"/>
      <c r="O377" s="260"/>
      <c r="P377" s="260">
        <f t="shared" si="511"/>
        <v>0</v>
      </c>
      <c r="Q377" s="260">
        <f>55000+1000</f>
        <v>56000</v>
      </c>
      <c r="R377" s="260">
        <f>55000+1000-31400</f>
        <v>24600</v>
      </c>
      <c r="S377" s="260">
        <f t="shared" si="514"/>
        <v>-31400</v>
      </c>
      <c r="T377" s="260"/>
      <c r="U377" s="260"/>
      <c r="V377" s="260">
        <f t="shared" si="517"/>
        <v>0</v>
      </c>
      <c r="W377" s="260"/>
      <c r="X377" s="260"/>
      <c r="Y377" s="260">
        <f t="shared" si="519"/>
        <v>0</v>
      </c>
      <c r="Z377" s="260"/>
      <c r="AA377" s="260"/>
      <c r="AB377" s="260">
        <f t="shared" si="522"/>
        <v>0</v>
      </c>
    </row>
    <row r="378" spans="1:189" s="254" customFormat="1" ht="31.5" x14ac:dyDescent="0.25">
      <c r="A378" s="259" t="s">
        <v>183</v>
      </c>
      <c r="B378" s="260">
        <f t="shared" si="536"/>
        <v>25200</v>
      </c>
      <c r="C378" s="260">
        <f t="shared" si="536"/>
        <v>25200</v>
      </c>
      <c r="D378" s="260">
        <f t="shared" si="536"/>
        <v>0</v>
      </c>
      <c r="E378" s="260"/>
      <c r="F378" s="260"/>
      <c r="G378" s="260">
        <f t="shared" si="572"/>
        <v>0</v>
      </c>
      <c r="H378" s="260"/>
      <c r="I378" s="260"/>
      <c r="J378" s="260">
        <f t="shared" si="505"/>
        <v>0</v>
      </c>
      <c r="K378" s="260">
        <v>25200</v>
      </c>
      <c r="L378" s="260">
        <v>25200</v>
      </c>
      <c r="M378" s="260">
        <f t="shared" si="508"/>
        <v>0</v>
      </c>
      <c r="N378" s="260"/>
      <c r="O378" s="260"/>
      <c r="P378" s="260">
        <f t="shared" si="511"/>
        <v>0</v>
      </c>
      <c r="Q378" s="260"/>
      <c r="R378" s="260"/>
      <c r="S378" s="260">
        <f t="shared" si="514"/>
        <v>0</v>
      </c>
      <c r="T378" s="260"/>
      <c r="U378" s="260"/>
      <c r="V378" s="260">
        <f t="shared" si="517"/>
        <v>0</v>
      </c>
      <c r="W378" s="260"/>
      <c r="X378" s="260"/>
      <c r="Y378" s="260">
        <f t="shared" si="519"/>
        <v>0</v>
      </c>
      <c r="Z378" s="260"/>
      <c r="AA378" s="260"/>
      <c r="AB378" s="260">
        <f t="shared" si="522"/>
        <v>0</v>
      </c>
    </row>
    <row r="379" spans="1:189" s="254" customFormat="1" x14ac:dyDescent="0.25">
      <c r="A379" s="252" t="s">
        <v>123</v>
      </c>
      <c r="B379" s="253">
        <f t="shared" si="536"/>
        <v>307261</v>
      </c>
      <c r="C379" s="253">
        <f t="shared" si="536"/>
        <v>307261</v>
      </c>
      <c r="D379" s="253">
        <f t="shared" si="536"/>
        <v>0</v>
      </c>
      <c r="E379" s="253">
        <f>SUM(E380:E383)</f>
        <v>0</v>
      </c>
      <c r="F379" s="253">
        <f>SUM(F380:F383)</f>
        <v>0</v>
      </c>
      <c r="G379" s="253">
        <f t="shared" si="572"/>
        <v>0</v>
      </c>
      <c r="H379" s="253">
        <f t="shared" ref="H379" si="628">SUM(H380:H383)</f>
        <v>0</v>
      </c>
      <c r="I379" s="253">
        <f t="shared" ref="I379" si="629">SUM(I380:I383)</f>
        <v>0</v>
      </c>
      <c r="J379" s="253">
        <f t="shared" si="505"/>
        <v>0</v>
      </c>
      <c r="K379" s="253">
        <f t="shared" ref="K379" si="630">SUM(K380:K383)</f>
        <v>10167</v>
      </c>
      <c r="L379" s="253">
        <f t="shared" ref="L379" si="631">SUM(L380:L383)</f>
        <v>10167</v>
      </c>
      <c r="M379" s="253">
        <f t="shared" si="508"/>
        <v>0</v>
      </c>
      <c r="N379" s="253">
        <f t="shared" ref="N379" si="632">SUM(N380:N383)</f>
        <v>297094</v>
      </c>
      <c r="O379" s="253">
        <f t="shared" ref="O379" si="633">SUM(O380:O383)</f>
        <v>297094</v>
      </c>
      <c r="P379" s="253">
        <f t="shared" si="511"/>
        <v>0</v>
      </c>
      <c r="Q379" s="253">
        <f t="shared" ref="Q379" si="634">SUM(Q380:Q383)</f>
        <v>0</v>
      </c>
      <c r="R379" s="253">
        <f t="shared" ref="R379" si="635">SUM(R380:R383)</f>
        <v>0</v>
      </c>
      <c r="S379" s="253">
        <f t="shared" si="514"/>
        <v>0</v>
      </c>
      <c r="T379" s="253">
        <f t="shared" ref="T379" si="636">SUM(T380:T383)</f>
        <v>0</v>
      </c>
      <c r="U379" s="253">
        <f t="shared" ref="U379" si="637">SUM(U380:U383)</f>
        <v>0</v>
      </c>
      <c r="V379" s="253">
        <f t="shared" si="517"/>
        <v>0</v>
      </c>
      <c r="W379" s="253">
        <f t="shared" ref="W379:X379" si="638">SUM(W380:W383)</f>
        <v>0</v>
      </c>
      <c r="X379" s="253">
        <f t="shared" si="638"/>
        <v>0</v>
      </c>
      <c r="Y379" s="253">
        <f t="shared" si="519"/>
        <v>0</v>
      </c>
      <c r="Z379" s="253">
        <f t="shared" ref="Z379" si="639">SUM(Z380:Z383)</f>
        <v>0</v>
      </c>
      <c r="AA379" s="253">
        <f t="shared" ref="AA379" si="640">SUM(AA380:AA383)</f>
        <v>0</v>
      </c>
      <c r="AB379" s="253">
        <f t="shared" si="522"/>
        <v>0</v>
      </c>
      <c r="AC379" s="251"/>
      <c r="AD379" s="251"/>
      <c r="AE379" s="251"/>
      <c r="AF379" s="251"/>
      <c r="AG379" s="251"/>
      <c r="AH379" s="251"/>
      <c r="AI379" s="251"/>
      <c r="AJ379" s="251"/>
      <c r="AK379" s="251"/>
      <c r="AL379" s="251"/>
      <c r="AM379" s="251"/>
      <c r="AN379" s="251"/>
      <c r="AO379" s="251"/>
      <c r="AP379" s="251"/>
      <c r="AQ379" s="251"/>
      <c r="AR379" s="251"/>
      <c r="AS379" s="251"/>
      <c r="AT379" s="251"/>
      <c r="AU379" s="251"/>
      <c r="AV379" s="251"/>
      <c r="AW379" s="251"/>
      <c r="AX379" s="251"/>
      <c r="AY379" s="251"/>
      <c r="AZ379" s="251"/>
      <c r="BA379" s="251"/>
      <c r="BB379" s="251"/>
      <c r="BC379" s="251"/>
      <c r="BD379" s="251"/>
      <c r="BE379" s="251"/>
      <c r="BF379" s="251"/>
      <c r="BG379" s="251"/>
      <c r="BH379" s="251"/>
      <c r="BI379" s="251"/>
      <c r="BJ379" s="251"/>
      <c r="BK379" s="251"/>
      <c r="BL379" s="251"/>
      <c r="BM379" s="251"/>
      <c r="BN379" s="251"/>
      <c r="BO379" s="251"/>
      <c r="BP379" s="251"/>
      <c r="BQ379" s="251"/>
      <c r="BR379" s="251"/>
      <c r="BS379" s="251"/>
      <c r="BT379" s="251"/>
      <c r="BU379" s="251"/>
      <c r="BV379" s="251"/>
      <c r="BW379" s="251"/>
      <c r="BX379" s="251"/>
      <c r="BY379" s="251"/>
      <c r="BZ379" s="251"/>
      <c r="CA379" s="251"/>
      <c r="CB379" s="251"/>
      <c r="CC379" s="251"/>
      <c r="CD379" s="251"/>
      <c r="CE379" s="251"/>
      <c r="CF379" s="251"/>
      <c r="CG379" s="251"/>
      <c r="CH379" s="251"/>
      <c r="CI379" s="251"/>
      <c r="CJ379" s="251"/>
      <c r="CK379" s="251"/>
      <c r="CL379" s="251"/>
      <c r="CM379" s="251"/>
      <c r="CN379" s="251"/>
      <c r="CO379" s="251"/>
      <c r="CP379" s="251"/>
      <c r="CQ379" s="251"/>
      <c r="CR379" s="251"/>
      <c r="CS379" s="251"/>
      <c r="CT379" s="251"/>
      <c r="CU379" s="251"/>
      <c r="CV379" s="251"/>
      <c r="CW379" s="251"/>
      <c r="CX379" s="251"/>
      <c r="CY379" s="251"/>
      <c r="CZ379" s="251"/>
      <c r="DA379" s="251"/>
      <c r="DB379" s="251"/>
      <c r="DC379" s="251"/>
      <c r="DD379" s="251"/>
      <c r="DE379" s="251"/>
      <c r="DF379" s="251"/>
      <c r="DG379" s="251"/>
      <c r="DH379" s="251"/>
      <c r="DI379" s="251"/>
      <c r="DJ379" s="251"/>
      <c r="DK379" s="251"/>
      <c r="DL379" s="251"/>
      <c r="DM379" s="251"/>
      <c r="DN379" s="251"/>
      <c r="DO379" s="251"/>
      <c r="DP379" s="251"/>
      <c r="DQ379" s="251"/>
      <c r="DR379" s="251"/>
      <c r="DS379" s="251"/>
      <c r="DT379" s="251"/>
      <c r="DU379" s="251"/>
      <c r="DV379" s="251"/>
      <c r="DW379" s="251"/>
      <c r="DX379" s="251"/>
      <c r="DY379" s="251"/>
      <c r="DZ379" s="251"/>
      <c r="EA379" s="251"/>
      <c r="EB379" s="251"/>
      <c r="EC379" s="251"/>
      <c r="ED379" s="251"/>
      <c r="EE379" s="251"/>
      <c r="EF379" s="251"/>
      <c r="EG379" s="251"/>
      <c r="EH379" s="251"/>
      <c r="EI379" s="251"/>
      <c r="EJ379" s="251"/>
      <c r="EK379" s="251"/>
      <c r="EL379" s="251"/>
      <c r="EM379" s="251"/>
      <c r="EN379" s="251"/>
      <c r="EO379" s="251"/>
      <c r="EP379" s="251"/>
      <c r="EQ379" s="251"/>
      <c r="ER379" s="251"/>
      <c r="ES379" s="251"/>
      <c r="ET379" s="251"/>
      <c r="EU379" s="251"/>
      <c r="EV379" s="251"/>
      <c r="EW379" s="251"/>
      <c r="EX379" s="251"/>
      <c r="EY379" s="251"/>
      <c r="EZ379" s="251"/>
      <c r="FA379" s="251"/>
      <c r="FB379" s="251"/>
      <c r="FC379" s="251"/>
      <c r="FD379" s="251"/>
      <c r="FE379" s="251"/>
      <c r="FF379" s="251"/>
      <c r="FG379" s="251"/>
      <c r="FH379" s="251"/>
      <c r="FI379" s="251"/>
      <c r="FJ379" s="251"/>
      <c r="FK379" s="251"/>
      <c r="FL379" s="251"/>
      <c r="FM379" s="251"/>
      <c r="FN379" s="251"/>
      <c r="FO379" s="251"/>
      <c r="FP379" s="251"/>
      <c r="FQ379" s="251"/>
      <c r="FR379" s="251"/>
      <c r="FS379" s="251"/>
      <c r="FT379" s="251"/>
      <c r="FU379" s="251"/>
      <c r="FV379" s="251"/>
      <c r="FW379" s="251"/>
      <c r="FX379" s="251"/>
      <c r="FY379" s="251"/>
      <c r="FZ379" s="251"/>
      <c r="GA379" s="251"/>
      <c r="GB379" s="251"/>
      <c r="GC379" s="251"/>
      <c r="GD379" s="251"/>
      <c r="GE379" s="251"/>
      <c r="GF379" s="251"/>
      <c r="GG379" s="251"/>
    </row>
    <row r="380" spans="1:189" s="254" customFormat="1" ht="78.75" x14ac:dyDescent="0.25">
      <c r="A380" s="268" t="s">
        <v>184</v>
      </c>
      <c r="B380" s="260">
        <f t="shared" si="536"/>
        <v>297094</v>
      </c>
      <c r="C380" s="260">
        <f t="shared" si="536"/>
        <v>297094</v>
      </c>
      <c r="D380" s="260">
        <f t="shared" si="536"/>
        <v>0</v>
      </c>
      <c r="E380" s="260"/>
      <c r="F380" s="260"/>
      <c r="G380" s="260">
        <f t="shared" si="572"/>
        <v>0</v>
      </c>
      <c r="H380" s="260"/>
      <c r="I380" s="260"/>
      <c r="J380" s="260">
        <f t="shared" si="505"/>
        <v>0</v>
      </c>
      <c r="K380" s="260"/>
      <c r="L380" s="260"/>
      <c r="M380" s="260">
        <f t="shared" si="508"/>
        <v>0</v>
      </c>
      <c r="N380" s="260">
        <f>170764+126330</f>
        <v>297094</v>
      </c>
      <c r="O380" s="260">
        <f>170764+126330</f>
        <v>297094</v>
      </c>
      <c r="P380" s="260">
        <f t="shared" si="511"/>
        <v>0</v>
      </c>
      <c r="Q380" s="260"/>
      <c r="R380" s="260"/>
      <c r="S380" s="260">
        <f t="shared" si="514"/>
        <v>0</v>
      </c>
      <c r="T380" s="260"/>
      <c r="U380" s="260"/>
      <c r="V380" s="260">
        <f t="shared" si="517"/>
        <v>0</v>
      </c>
      <c r="W380" s="260"/>
      <c r="X380" s="260"/>
      <c r="Y380" s="260">
        <f t="shared" si="519"/>
        <v>0</v>
      </c>
      <c r="Z380" s="260"/>
      <c r="AA380" s="260"/>
      <c r="AB380" s="260">
        <f t="shared" si="522"/>
        <v>0</v>
      </c>
    </row>
    <row r="381" spans="1:189" s="254" customFormat="1" x14ac:dyDescent="0.25">
      <c r="A381" s="256" t="s">
        <v>252</v>
      </c>
      <c r="B381" s="260">
        <f t="shared" si="536"/>
        <v>3831</v>
      </c>
      <c r="C381" s="260">
        <f t="shared" si="536"/>
        <v>3831</v>
      </c>
      <c r="D381" s="260">
        <f t="shared" si="536"/>
        <v>0</v>
      </c>
      <c r="E381" s="260"/>
      <c r="F381" s="260"/>
      <c r="G381" s="260">
        <f t="shared" si="572"/>
        <v>0</v>
      </c>
      <c r="H381" s="260"/>
      <c r="I381" s="260"/>
      <c r="J381" s="260">
        <f t="shared" si="505"/>
        <v>0</v>
      </c>
      <c r="K381" s="260">
        <f>3866-35</f>
        <v>3831</v>
      </c>
      <c r="L381" s="260">
        <f>3866-35</f>
        <v>3831</v>
      </c>
      <c r="M381" s="260">
        <f t="shared" si="508"/>
        <v>0</v>
      </c>
      <c r="N381" s="260"/>
      <c r="O381" s="260"/>
      <c r="P381" s="260">
        <f t="shared" si="511"/>
        <v>0</v>
      </c>
      <c r="Q381" s="260"/>
      <c r="R381" s="260"/>
      <c r="S381" s="260">
        <f t="shared" si="514"/>
        <v>0</v>
      </c>
      <c r="T381" s="260"/>
      <c r="U381" s="260"/>
      <c r="V381" s="260">
        <f t="shared" si="517"/>
        <v>0</v>
      </c>
      <c r="W381" s="260"/>
      <c r="X381" s="260"/>
      <c r="Y381" s="260">
        <f t="shared" si="519"/>
        <v>0</v>
      </c>
      <c r="Z381" s="260"/>
      <c r="AA381" s="260"/>
      <c r="AB381" s="260">
        <f t="shared" si="522"/>
        <v>0</v>
      </c>
    </row>
    <row r="382" spans="1:189" s="254" customFormat="1" x14ac:dyDescent="0.25">
      <c r="A382" s="256" t="s">
        <v>446</v>
      </c>
      <c r="B382" s="260">
        <f t="shared" si="536"/>
        <v>1336</v>
      </c>
      <c r="C382" s="260">
        <f t="shared" si="536"/>
        <v>1336</v>
      </c>
      <c r="D382" s="260">
        <f t="shared" si="536"/>
        <v>0</v>
      </c>
      <c r="E382" s="260"/>
      <c r="F382" s="260"/>
      <c r="G382" s="260">
        <f t="shared" si="572"/>
        <v>0</v>
      </c>
      <c r="H382" s="260"/>
      <c r="I382" s="260"/>
      <c r="J382" s="260">
        <f t="shared" si="505"/>
        <v>0</v>
      </c>
      <c r="K382" s="260">
        <v>1336</v>
      </c>
      <c r="L382" s="260">
        <v>1336</v>
      </c>
      <c r="M382" s="260">
        <f t="shared" si="508"/>
        <v>0</v>
      </c>
      <c r="N382" s="260"/>
      <c r="O382" s="260"/>
      <c r="P382" s="260">
        <f t="shared" si="511"/>
        <v>0</v>
      </c>
      <c r="Q382" s="260"/>
      <c r="R382" s="260"/>
      <c r="S382" s="260">
        <f t="shared" si="514"/>
        <v>0</v>
      </c>
      <c r="T382" s="260"/>
      <c r="U382" s="260"/>
      <c r="V382" s="260">
        <f t="shared" si="517"/>
        <v>0</v>
      </c>
      <c r="W382" s="260"/>
      <c r="X382" s="260"/>
      <c r="Y382" s="260">
        <f t="shared" si="519"/>
        <v>0</v>
      </c>
      <c r="Z382" s="260"/>
      <c r="AA382" s="260"/>
      <c r="AB382" s="260">
        <f t="shared" si="522"/>
        <v>0</v>
      </c>
    </row>
    <row r="383" spans="1:189" s="254" customFormat="1" ht="31.5" x14ac:dyDescent="0.25">
      <c r="A383" s="256" t="s">
        <v>185</v>
      </c>
      <c r="B383" s="260">
        <f t="shared" si="536"/>
        <v>5000</v>
      </c>
      <c r="C383" s="260">
        <f t="shared" si="536"/>
        <v>5000</v>
      </c>
      <c r="D383" s="260">
        <f t="shared" si="536"/>
        <v>0</v>
      </c>
      <c r="E383" s="260"/>
      <c r="F383" s="260"/>
      <c r="G383" s="260">
        <f t="shared" si="572"/>
        <v>0</v>
      </c>
      <c r="H383" s="260"/>
      <c r="I383" s="260"/>
      <c r="J383" s="260">
        <f t="shared" si="505"/>
        <v>0</v>
      </c>
      <c r="K383" s="260">
        <v>5000</v>
      </c>
      <c r="L383" s="260">
        <v>5000</v>
      </c>
      <c r="M383" s="260">
        <f t="shared" si="508"/>
        <v>0</v>
      </c>
      <c r="N383" s="260"/>
      <c r="O383" s="260"/>
      <c r="P383" s="260">
        <f t="shared" si="511"/>
        <v>0</v>
      </c>
      <c r="Q383" s="260"/>
      <c r="R383" s="260"/>
      <c r="S383" s="260">
        <f t="shared" si="514"/>
        <v>0</v>
      </c>
      <c r="T383" s="260"/>
      <c r="U383" s="260"/>
      <c r="V383" s="260">
        <f t="shared" si="517"/>
        <v>0</v>
      </c>
      <c r="W383" s="260"/>
      <c r="X383" s="260"/>
      <c r="Y383" s="260">
        <f t="shared" si="519"/>
        <v>0</v>
      </c>
      <c r="Z383" s="260"/>
      <c r="AA383" s="260"/>
      <c r="AB383" s="260">
        <f t="shared" si="522"/>
        <v>0</v>
      </c>
    </row>
    <row r="384" spans="1:189" s="254" customFormat="1" x14ac:dyDescent="0.25">
      <c r="A384" s="252" t="s">
        <v>113</v>
      </c>
      <c r="B384" s="253">
        <f t="shared" si="536"/>
        <v>447000</v>
      </c>
      <c r="C384" s="253">
        <f t="shared" si="536"/>
        <v>447000</v>
      </c>
      <c r="D384" s="253">
        <f t="shared" si="536"/>
        <v>0</v>
      </c>
      <c r="E384" s="253">
        <f t="shared" ref="E384" si="641">SUM(E385:E388)</f>
        <v>177000</v>
      </c>
      <c r="F384" s="253">
        <f t="shared" ref="F384:AA384" si="642">SUM(F385:F388)</f>
        <v>177000</v>
      </c>
      <c r="G384" s="253">
        <f t="shared" si="572"/>
        <v>0</v>
      </c>
      <c r="H384" s="253">
        <f t="shared" ref="H384" si="643">SUM(H385:H388)</f>
        <v>0</v>
      </c>
      <c r="I384" s="253">
        <f t="shared" si="642"/>
        <v>0</v>
      </c>
      <c r="J384" s="253">
        <f t="shared" si="505"/>
        <v>0</v>
      </c>
      <c r="K384" s="253">
        <f t="shared" ref="K384" si="644">SUM(K385:K388)</f>
        <v>91200</v>
      </c>
      <c r="L384" s="253">
        <f t="shared" si="642"/>
        <v>91200</v>
      </c>
      <c r="M384" s="253">
        <f t="shared" si="508"/>
        <v>0</v>
      </c>
      <c r="N384" s="253">
        <f t="shared" ref="N384" si="645">SUM(N385:N388)</f>
        <v>0</v>
      </c>
      <c r="O384" s="253">
        <f t="shared" si="642"/>
        <v>0</v>
      </c>
      <c r="P384" s="253">
        <f t="shared" si="511"/>
        <v>0</v>
      </c>
      <c r="Q384" s="253">
        <f t="shared" ref="Q384" si="646">SUM(Q385:Q388)</f>
        <v>0</v>
      </c>
      <c r="R384" s="253">
        <f t="shared" si="642"/>
        <v>0</v>
      </c>
      <c r="S384" s="253">
        <f t="shared" si="514"/>
        <v>0</v>
      </c>
      <c r="T384" s="253">
        <f t="shared" ref="T384" si="647">SUM(T385:T388)</f>
        <v>0</v>
      </c>
      <c r="U384" s="253">
        <f t="shared" si="642"/>
        <v>0</v>
      </c>
      <c r="V384" s="253">
        <f t="shared" si="517"/>
        <v>0</v>
      </c>
      <c r="W384" s="253">
        <f t="shared" ref="W384" si="648">SUM(W385:W388)</f>
        <v>0</v>
      </c>
      <c r="X384" s="253">
        <f t="shared" si="642"/>
        <v>0</v>
      </c>
      <c r="Y384" s="253">
        <f t="shared" si="519"/>
        <v>0</v>
      </c>
      <c r="Z384" s="253">
        <f t="shared" ref="Z384" si="649">SUM(Z385:Z388)</f>
        <v>178800</v>
      </c>
      <c r="AA384" s="253">
        <f t="shared" si="642"/>
        <v>178800</v>
      </c>
      <c r="AB384" s="253">
        <f t="shared" si="522"/>
        <v>0</v>
      </c>
      <c r="AC384" s="251"/>
      <c r="AD384" s="251"/>
      <c r="AE384" s="251"/>
      <c r="AF384" s="251"/>
      <c r="AG384" s="251"/>
      <c r="AH384" s="251"/>
      <c r="AI384" s="251"/>
      <c r="AJ384" s="251"/>
      <c r="AK384" s="251"/>
      <c r="AL384" s="251"/>
      <c r="AM384" s="251"/>
      <c r="AN384" s="251"/>
      <c r="AO384" s="251"/>
      <c r="AP384" s="251"/>
      <c r="AQ384" s="251"/>
      <c r="AR384" s="251"/>
      <c r="AS384" s="251"/>
      <c r="AT384" s="251"/>
      <c r="AU384" s="251"/>
      <c r="AV384" s="251"/>
      <c r="AW384" s="251"/>
      <c r="AX384" s="251"/>
      <c r="AY384" s="251"/>
      <c r="AZ384" s="251"/>
      <c r="BA384" s="251"/>
      <c r="BB384" s="251"/>
      <c r="BC384" s="251"/>
      <c r="BD384" s="251"/>
      <c r="BE384" s="251"/>
      <c r="BF384" s="251"/>
      <c r="BG384" s="251"/>
      <c r="BH384" s="251"/>
      <c r="BI384" s="251"/>
      <c r="BJ384" s="251"/>
      <c r="BK384" s="251"/>
      <c r="BL384" s="251"/>
      <c r="BM384" s="251"/>
      <c r="BN384" s="251"/>
      <c r="BO384" s="251"/>
      <c r="BP384" s="251"/>
      <c r="BQ384" s="251"/>
      <c r="BR384" s="251"/>
      <c r="BS384" s="251"/>
      <c r="BT384" s="251"/>
      <c r="BU384" s="251"/>
      <c r="BV384" s="251"/>
      <c r="BW384" s="251"/>
      <c r="BX384" s="251"/>
      <c r="BY384" s="251"/>
      <c r="BZ384" s="251"/>
      <c r="CA384" s="251"/>
      <c r="CB384" s="251"/>
      <c r="CC384" s="251"/>
      <c r="CD384" s="251"/>
      <c r="CE384" s="251"/>
      <c r="CF384" s="251"/>
      <c r="CG384" s="251"/>
      <c r="CH384" s="251"/>
      <c r="CI384" s="251"/>
      <c r="CJ384" s="251"/>
      <c r="CK384" s="251"/>
      <c r="CL384" s="251"/>
      <c r="CM384" s="251"/>
      <c r="CN384" s="251"/>
      <c r="CO384" s="251"/>
      <c r="CP384" s="251"/>
      <c r="CQ384" s="251"/>
      <c r="CR384" s="251"/>
      <c r="CS384" s="251"/>
      <c r="CT384" s="251"/>
      <c r="CU384" s="251"/>
      <c r="CV384" s="251"/>
      <c r="CW384" s="251"/>
      <c r="CX384" s="251"/>
      <c r="CY384" s="251"/>
      <c r="CZ384" s="251"/>
      <c r="DA384" s="251"/>
      <c r="DB384" s="251"/>
      <c r="DC384" s="251"/>
      <c r="DD384" s="251"/>
      <c r="DE384" s="251"/>
      <c r="DF384" s="251"/>
      <c r="DG384" s="251"/>
      <c r="DH384" s="251"/>
      <c r="DI384" s="251"/>
      <c r="DJ384" s="251"/>
      <c r="DK384" s="251"/>
      <c r="DL384" s="251"/>
      <c r="DM384" s="251"/>
      <c r="DN384" s="251"/>
      <c r="DO384" s="251"/>
      <c r="DP384" s="251"/>
      <c r="DQ384" s="251"/>
      <c r="DR384" s="251"/>
      <c r="DS384" s="251"/>
      <c r="DT384" s="251"/>
      <c r="DU384" s="251"/>
      <c r="DV384" s="251"/>
      <c r="DW384" s="251"/>
      <c r="DX384" s="251"/>
      <c r="DY384" s="251"/>
      <c r="DZ384" s="251"/>
      <c r="EA384" s="251"/>
      <c r="EB384" s="251"/>
      <c r="EC384" s="251"/>
      <c r="ED384" s="251"/>
      <c r="EE384" s="251"/>
      <c r="EF384" s="251"/>
      <c r="EG384" s="251"/>
      <c r="EH384" s="251"/>
      <c r="EI384" s="251"/>
      <c r="EJ384" s="251"/>
      <c r="EK384" s="251"/>
      <c r="EL384" s="251"/>
      <c r="EM384" s="251"/>
      <c r="EN384" s="251"/>
      <c r="EO384" s="251"/>
      <c r="EP384" s="251"/>
      <c r="EQ384" s="251"/>
      <c r="ER384" s="251"/>
      <c r="ES384" s="251"/>
      <c r="ET384" s="251"/>
      <c r="EU384" s="251"/>
      <c r="EV384" s="251"/>
      <c r="EW384" s="251"/>
      <c r="EX384" s="251"/>
      <c r="EY384" s="251"/>
      <c r="EZ384" s="251"/>
      <c r="FA384" s="251"/>
      <c r="FB384" s="251"/>
      <c r="FC384" s="251"/>
      <c r="FD384" s="251"/>
      <c r="FE384" s="251"/>
      <c r="FF384" s="251"/>
      <c r="FG384" s="251"/>
      <c r="FH384" s="251"/>
      <c r="FI384" s="251"/>
      <c r="FJ384" s="251"/>
      <c r="FK384" s="251"/>
      <c r="FL384" s="251"/>
      <c r="FM384" s="251"/>
      <c r="FN384" s="251"/>
      <c r="FO384" s="251"/>
      <c r="FP384" s="251"/>
      <c r="FQ384" s="251"/>
      <c r="FR384" s="251"/>
      <c r="FS384" s="251"/>
      <c r="FT384" s="251"/>
      <c r="FU384" s="251"/>
      <c r="FV384" s="251"/>
      <c r="FW384" s="251"/>
      <c r="FX384" s="251"/>
      <c r="FY384" s="251"/>
      <c r="FZ384" s="251"/>
      <c r="GA384" s="251"/>
      <c r="GB384" s="251"/>
      <c r="GC384" s="251"/>
      <c r="GD384" s="251"/>
      <c r="GE384" s="251"/>
      <c r="GF384" s="251"/>
      <c r="GG384" s="251"/>
    </row>
    <row r="385" spans="1:189" s="254" customFormat="1" ht="47.25" x14ac:dyDescent="0.25">
      <c r="A385" s="259" t="s">
        <v>186</v>
      </c>
      <c r="B385" s="260">
        <f t="shared" si="536"/>
        <v>5500</v>
      </c>
      <c r="C385" s="260">
        <f t="shared" si="536"/>
        <v>5500</v>
      </c>
      <c r="D385" s="260">
        <f t="shared" si="536"/>
        <v>0</v>
      </c>
      <c r="E385" s="260"/>
      <c r="F385" s="260"/>
      <c r="G385" s="260">
        <f t="shared" si="572"/>
        <v>0</v>
      </c>
      <c r="H385" s="260"/>
      <c r="I385" s="260"/>
      <c r="J385" s="260">
        <f t="shared" si="505"/>
        <v>0</v>
      </c>
      <c r="K385" s="260">
        <v>5500</v>
      </c>
      <c r="L385" s="260">
        <v>5500</v>
      </c>
      <c r="M385" s="260">
        <f t="shared" si="508"/>
        <v>0</v>
      </c>
      <c r="N385" s="260"/>
      <c r="O385" s="260"/>
      <c r="P385" s="260">
        <f t="shared" si="511"/>
        <v>0</v>
      </c>
      <c r="Q385" s="260"/>
      <c r="R385" s="260"/>
      <c r="S385" s="260">
        <f t="shared" si="514"/>
        <v>0</v>
      </c>
      <c r="T385" s="260"/>
      <c r="U385" s="260"/>
      <c r="V385" s="260">
        <f t="shared" si="517"/>
        <v>0</v>
      </c>
      <c r="W385" s="260"/>
      <c r="X385" s="260"/>
      <c r="Y385" s="260">
        <f t="shared" si="519"/>
        <v>0</v>
      </c>
      <c r="Z385" s="260"/>
      <c r="AA385" s="260"/>
      <c r="AB385" s="260">
        <f t="shared" si="522"/>
        <v>0</v>
      </c>
      <c r="FN385" s="251"/>
      <c r="FO385" s="251"/>
      <c r="FP385" s="251"/>
      <c r="FQ385" s="251"/>
      <c r="FR385" s="251"/>
      <c r="FS385" s="251"/>
      <c r="FT385" s="251"/>
      <c r="FU385" s="251"/>
      <c r="FV385" s="251"/>
      <c r="FW385" s="251"/>
      <c r="FX385" s="251"/>
      <c r="FY385" s="251"/>
      <c r="FZ385" s="251"/>
      <c r="GA385" s="251"/>
      <c r="GB385" s="251"/>
      <c r="GC385" s="251"/>
      <c r="GD385" s="251"/>
      <c r="GE385" s="251"/>
      <c r="GF385" s="251"/>
      <c r="GG385" s="251"/>
    </row>
    <row r="386" spans="1:189" s="254" customFormat="1" ht="31.5" x14ac:dyDescent="0.25">
      <c r="A386" s="259" t="s">
        <v>447</v>
      </c>
      <c r="B386" s="260">
        <f t="shared" si="536"/>
        <v>36700</v>
      </c>
      <c r="C386" s="260">
        <f t="shared" si="536"/>
        <v>36700</v>
      </c>
      <c r="D386" s="260">
        <f t="shared" si="536"/>
        <v>0</v>
      </c>
      <c r="E386" s="260"/>
      <c r="F386" s="260"/>
      <c r="G386" s="260">
        <f t="shared" si="572"/>
        <v>0</v>
      </c>
      <c r="H386" s="260"/>
      <c r="I386" s="260"/>
      <c r="J386" s="260">
        <f t="shared" si="505"/>
        <v>0</v>
      </c>
      <c r="K386" s="260">
        <v>36700</v>
      </c>
      <c r="L386" s="260">
        <v>36700</v>
      </c>
      <c r="M386" s="260">
        <f t="shared" si="508"/>
        <v>0</v>
      </c>
      <c r="N386" s="260"/>
      <c r="O386" s="260"/>
      <c r="P386" s="260">
        <f t="shared" si="511"/>
        <v>0</v>
      </c>
      <c r="Q386" s="260"/>
      <c r="R386" s="260"/>
      <c r="S386" s="260">
        <f t="shared" si="514"/>
        <v>0</v>
      </c>
      <c r="T386" s="260"/>
      <c r="U386" s="260"/>
      <c r="V386" s="260">
        <f t="shared" si="517"/>
        <v>0</v>
      </c>
      <c r="W386" s="260"/>
      <c r="X386" s="260"/>
      <c r="Y386" s="260">
        <f t="shared" si="519"/>
        <v>0</v>
      </c>
      <c r="Z386" s="260"/>
      <c r="AA386" s="260"/>
      <c r="AB386" s="260">
        <f t="shared" si="522"/>
        <v>0</v>
      </c>
      <c r="FN386" s="251"/>
      <c r="FO386" s="251"/>
      <c r="FP386" s="251"/>
      <c r="FQ386" s="251"/>
      <c r="FR386" s="251"/>
      <c r="FS386" s="251"/>
      <c r="FT386" s="251"/>
      <c r="FU386" s="251"/>
      <c r="FV386" s="251"/>
      <c r="FW386" s="251"/>
      <c r="FX386" s="251"/>
      <c r="FY386" s="251"/>
      <c r="FZ386" s="251"/>
      <c r="GA386" s="251"/>
      <c r="GB386" s="251"/>
      <c r="GC386" s="251"/>
      <c r="GD386" s="251"/>
      <c r="GE386" s="251"/>
      <c r="GF386" s="251"/>
      <c r="GG386" s="251"/>
    </row>
    <row r="387" spans="1:189" s="254" customFormat="1" ht="31.5" x14ac:dyDescent="0.25">
      <c r="A387" s="259" t="s">
        <v>500</v>
      </c>
      <c r="B387" s="260">
        <f t="shared" si="536"/>
        <v>355800</v>
      </c>
      <c r="C387" s="260">
        <f t="shared" si="536"/>
        <v>355800</v>
      </c>
      <c r="D387" s="260">
        <f t="shared" si="536"/>
        <v>0</v>
      </c>
      <c r="E387" s="260">
        <v>177000</v>
      </c>
      <c r="F387" s="260">
        <v>177000</v>
      </c>
      <c r="G387" s="260">
        <f t="shared" si="572"/>
        <v>0</v>
      </c>
      <c r="H387" s="260"/>
      <c r="I387" s="260"/>
      <c r="J387" s="260">
        <f t="shared" si="505"/>
        <v>0</v>
      </c>
      <c r="K387" s="260"/>
      <c r="L387" s="260"/>
      <c r="M387" s="260">
        <f t="shared" si="508"/>
        <v>0</v>
      </c>
      <c r="N387" s="260"/>
      <c r="O387" s="260"/>
      <c r="P387" s="260">
        <f t="shared" si="511"/>
        <v>0</v>
      </c>
      <c r="Q387" s="260"/>
      <c r="R387" s="260"/>
      <c r="S387" s="260">
        <f t="shared" si="514"/>
        <v>0</v>
      </c>
      <c r="T387" s="260"/>
      <c r="U387" s="260"/>
      <c r="V387" s="260">
        <f t="shared" si="517"/>
        <v>0</v>
      </c>
      <c r="W387" s="260"/>
      <c r="X387" s="260"/>
      <c r="Y387" s="260">
        <f t="shared" si="519"/>
        <v>0</v>
      </c>
      <c r="Z387" s="260">
        <v>178800</v>
      </c>
      <c r="AA387" s="260">
        <v>178800</v>
      </c>
      <c r="AB387" s="260">
        <f t="shared" si="522"/>
        <v>0</v>
      </c>
      <c r="FN387" s="251"/>
      <c r="FO387" s="251"/>
      <c r="FP387" s="251"/>
      <c r="FQ387" s="251"/>
      <c r="FR387" s="251"/>
      <c r="FS387" s="251"/>
      <c r="FT387" s="251"/>
      <c r="FU387" s="251"/>
      <c r="FV387" s="251"/>
      <c r="FW387" s="251"/>
      <c r="FX387" s="251"/>
      <c r="FY387" s="251"/>
      <c r="FZ387" s="251"/>
      <c r="GA387" s="251"/>
      <c r="GB387" s="251"/>
      <c r="GC387" s="251"/>
      <c r="GD387" s="251"/>
      <c r="GE387" s="251"/>
      <c r="GF387" s="251"/>
      <c r="GG387" s="251"/>
    </row>
    <row r="388" spans="1:189" s="254" customFormat="1" ht="31.5" x14ac:dyDescent="0.25">
      <c r="A388" s="259" t="s">
        <v>187</v>
      </c>
      <c r="B388" s="260">
        <f t="shared" si="536"/>
        <v>49000</v>
      </c>
      <c r="C388" s="260">
        <f t="shared" si="536"/>
        <v>49000</v>
      </c>
      <c r="D388" s="260">
        <f t="shared" si="536"/>
        <v>0</v>
      </c>
      <c r="E388" s="260"/>
      <c r="F388" s="260"/>
      <c r="G388" s="260">
        <f t="shared" si="572"/>
        <v>0</v>
      </c>
      <c r="H388" s="260"/>
      <c r="I388" s="260"/>
      <c r="J388" s="260">
        <f t="shared" si="505"/>
        <v>0</v>
      </c>
      <c r="K388" s="260">
        <v>49000</v>
      </c>
      <c r="L388" s="260">
        <v>49000</v>
      </c>
      <c r="M388" s="260">
        <f t="shared" si="508"/>
        <v>0</v>
      </c>
      <c r="N388" s="260"/>
      <c r="O388" s="260"/>
      <c r="P388" s="260">
        <f t="shared" si="511"/>
        <v>0</v>
      </c>
      <c r="Q388" s="260"/>
      <c r="R388" s="260"/>
      <c r="S388" s="260">
        <f t="shared" si="514"/>
        <v>0</v>
      </c>
      <c r="T388" s="260"/>
      <c r="U388" s="260"/>
      <c r="V388" s="260">
        <f t="shared" si="517"/>
        <v>0</v>
      </c>
      <c r="W388" s="260"/>
      <c r="X388" s="260"/>
      <c r="Y388" s="260">
        <f t="shared" si="519"/>
        <v>0</v>
      </c>
      <c r="Z388" s="260"/>
      <c r="AA388" s="260"/>
      <c r="AB388" s="260">
        <f t="shared" si="522"/>
        <v>0</v>
      </c>
      <c r="FN388" s="251"/>
      <c r="FO388" s="251"/>
      <c r="FP388" s="251"/>
      <c r="FQ388" s="251"/>
      <c r="FR388" s="251"/>
      <c r="FS388" s="251"/>
      <c r="FT388" s="251"/>
      <c r="FU388" s="251"/>
      <c r="FV388" s="251"/>
      <c r="FW388" s="251"/>
      <c r="FX388" s="251"/>
      <c r="FY388" s="251"/>
      <c r="FZ388" s="251"/>
      <c r="GA388" s="251"/>
      <c r="GB388" s="251"/>
      <c r="GC388" s="251"/>
      <c r="GD388" s="251"/>
      <c r="GE388" s="251"/>
      <c r="GF388" s="251"/>
      <c r="GG388" s="251"/>
    </row>
    <row r="389" spans="1:189" s="254" customFormat="1" x14ac:dyDescent="0.25">
      <c r="A389" s="252" t="s">
        <v>94</v>
      </c>
      <c r="B389" s="253">
        <f t="shared" si="536"/>
        <v>2400593</v>
      </c>
      <c r="C389" s="253">
        <f t="shared" si="536"/>
        <v>2400593</v>
      </c>
      <c r="D389" s="253">
        <f t="shared" si="536"/>
        <v>0</v>
      </c>
      <c r="E389" s="253">
        <f>SUM(E390,E393,E395,E397)</f>
        <v>0</v>
      </c>
      <c r="F389" s="253">
        <f>SUM(F390,F393,F395,F397)</f>
        <v>0</v>
      </c>
      <c r="G389" s="253">
        <f t="shared" si="572"/>
        <v>0</v>
      </c>
      <c r="H389" s="253">
        <f t="shared" ref="H389" si="650">SUM(H390,H393,H395,H397)</f>
        <v>0</v>
      </c>
      <c r="I389" s="253">
        <f t="shared" ref="I389" si="651">SUM(I390,I393,I395,I397)</f>
        <v>0</v>
      </c>
      <c r="J389" s="253">
        <f t="shared" si="505"/>
        <v>0</v>
      </c>
      <c r="K389" s="253">
        <f t="shared" ref="K389" si="652">SUM(K390,K393,K395,K397)</f>
        <v>3318</v>
      </c>
      <c r="L389" s="253">
        <f t="shared" ref="L389" si="653">SUM(L390,L393,L395,L397)</f>
        <v>3318</v>
      </c>
      <c r="M389" s="253">
        <f t="shared" si="508"/>
        <v>0</v>
      </c>
      <c r="N389" s="253">
        <f t="shared" ref="N389" si="654">SUM(N390,N393,N395,N397)</f>
        <v>2397275</v>
      </c>
      <c r="O389" s="253">
        <f t="shared" ref="O389" si="655">SUM(O390,O393,O395,O397)</f>
        <v>2397275</v>
      </c>
      <c r="P389" s="253">
        <f t="shared" si="511"/>
        <v>0</v>
      </c>
      <c r="Q389" s="253">
        <f t="shared" ref="Q389" si="656">SUM(Q390,Q393,Q395,Q397)</f>
        <v>0</v>
      </c>
      <c r="R389" s="253">
        <f t="shared" ref="R389" si="657">SUM(R390,R393,R395,R397)</f>
        <v>0</v>
      </c>
      <c r="S389" s="253">
        <f t="shared" si="514"/>
        <v>0</v>
      </c>
      <c r="T389" s="253">
        <f t="shared" ref="T389" si="658">SUM(T390,T393,T395,T397)</f>
        <v>0</v>
      </c>
      <c r="U389" s="253">
        <f t="shared" ref="U389" si="659">SUM(U390,U393,U395,U397)</f>
        <v>0</v>
      </c>
      <c r="V389" s="253">
        <f t="shared" si="517"/>
        <v>0</v>
      </c>
      <c r="W389" s="253">
        <f t="shared" ref="W389:X389" si="660">SUM(W390,W393,W395,W397)</f>
        <v>0</v>
      </c>
      <c r="X389" s="253">
        <f t="shared" si="660"/>
        <v>0</v>
      </c>
      <c r="Y389" s="253">
        <f t="shared" si="519"/>
        <v>0</v>
      </c>
      <c r="Z389" s="253">
        <f t="shared" ref="Z389" si="661">SUM(Z390,Z393,Z395,Z397)</f>
        <v>0</v>
      </c>
      <c r="AA389" s="253">
        <f t="shared" ref="AA389" si="662">SUM(AA390,AA393,AA395,AA397)</f>
        <v>0</v>
      </c>
      <c r="AB389" s="253">
        <f t="shared" si="522"/>
        <v>0</v>
      </c>
      <c r="FN389" s="251"/>
      <c r="FO389" s="251"/>
      <c r="FP389" s="251"/>
      <c r="FQ389" s="251"/>
      <c r="FR389" s="251"/>
      <c r="FS389" s="251"/>
      <c r="FT389" s="251"/>
      <c r="FU389" s="251"/>
      <c r="FV389" s="251"/>
      <c r="FW389" s="251"/>
      <c r="FX389" s="251"/>
      <c r="FY389" s="251"/>
      <c r="FZ389" s="251"/>
      <c r="GA389" s="251"/>
      <c r="GB389" s="251"/>
      <c r="GC389" s="251"/>
      <c r="GD389" s="251"/>
      <c r="GE389" s="251"/>
      <c r="GF389" s="251"/>
      <c r="GG389" s="251"/>
    </row>
    <row r="390" spans="1:189" s="254" customFormat="1" x14ac:dyDescent="0.25">
      <c r="A390" s="252" t="s">
        <v>101</v>
      </c>
      <c r="B390" s="253">
        <f t="shared" si="536"/>
        <v>3318</v>
      </c>
      <c r="C390" s="253">
        <f t="shared" si="536"/>
        <v>3318</v>
      </c>
      <c r="D390" s="253">
        <f t="shared" si="536"/>
        <v>0</v>
      </c>
      <c r="E390" s="253">
        <f t="shared" ref="E390" si="663">SUM(E391:E392)</f>
        <v>0</v>
      </c>
      <c r="F390" s="253">
        <f t="shared" ref="F390" si="664">SUM(F391:F392)</f>
        <v>0</v>
      </c>
      <c r="G390" s="253">
        <f t="shared" si="572"/>
        <v>0</v>
      </c>
      <c r="H390" s="253">
        <f t="shared" ref="H390" si="665">SUM(H391:H392)</f>
        <v>0</v>
      </c>
      <c r="I390" s="253">
        <f t="shared" ref="I390:AA390" si="666">SUM(I391:I392)</f>
        <v>0</v>
      </c>
      <c r="J390" s="253">
        <f t="shared" si="505"/>
        <v>0</v>
      </c>
      <c r="K390" s="253">
        <f t="shared" ref="K390" si="667">SUM(K391:K392)</f>
        <v>3318</v>
      </c>
      <c r="L390" s="253">
        <f t="shared" si="666"/>
        <v>3318</v>
      </c>
      <c r="M390" s="253">
        <f t="shared" si="508"/>
        <v>0</v>
      </c>
      <c r="N390" s="253">
        <f t="shared" ref="N390" si="668">SUM(N391:N392)</f>
        <v>0</v>
      </c>
      <c r="O390" s="253">
        <f t="shared" si="666"/>
        <v>0</v>
      </c>
      <c r="P390" s="253">
        <f t="shared" si="511"/>
        <v>0</v>
      </c>
      <c r="Q390" s="253">
        <f t="shared" ref="Q390" si="669">SUM(Q391:Q392)</f>
        <v>0</v>
      </c>
      <c r="R390" s="253">
        <f t="shared" si="666"/>
        <v>0</v>
      </c>
      <c r="S390" s="253">
        <f t="shared" si="514"/>
        <v>0</v>
      </c>
      <c r="T390" s="253">
        <f t="shared" ref="T390" si="670">SUM(T391:T392)</f>
        <v>0</v>
      </c>
      <c r="U390" s="253">
        <f t="shared" si="666"/>
        <v>0</v>
      </c>
      <c r="V390" s="253">
        <f t="shared" si="517"/>
        <v>0</v>
      </c>
      <c r="W390" s="253">
        <f t="shared" ref="W390" si="671">SUM(W391:W392)</f>
        <v>0</v>
      </c>
      <c r="X390" s="253">
        <f t="shared" si="666"/>
        <v>0</v>
      </c>
      <c r="Y390" s="253">
        <f t="shared" si="519"/>
        <v>0</v>
      </c>
      <c r="Z390" s="253">
        <f t="shared" ref="Z390" si="672">SUM(Z391:Z392)</f>
        <v>0</v>
      </c>
      <c r="AA390" s="253">
        <f t="shared" si="666"/>
        <v>0</v>
      </c>
      <c r="AB390" s="253">
        <f t="shared" si="522"/>
        <v>0</v>
      </c>
      <c r="AC390" s="251"/>
      <c r="AD390" s="251"/>
      <c r="AE390" s="251"/>
      <c r="AF390" s="251"/>
      <c r="AG390" s="251"/>
      <c r="AH390" s="251"/>
      <c r="AI390" s="251"/>
      <c r="AJ390" s="251"/>
      <c r="AK390" s="251"/>
      <c r="AL390" s="251"/>
      <c r="AM390" s="251"/>
      <c r="AN390" s="251"/>
      <c r="AO390" s="251"/>
      <c r="AP390" s="251"/>
      <c r="AQ390" s="251"/>
      <c r="AR390" s="251"/>
      <c r="AS390" s="251"/>
      <c r="AT390" s="251"/>
      <c r="AU390" s="251"/>
      <c r="AV390" s="251"/>
      <c r="AW390" s="251"/>
      <c r="AX390" s="251"/>
      <c r="AY390" s="251"/>
      <c r="AZ390" s="251"/>
      <c r="BA390" s="251"/>
      <c r="BB390" s="251"/>
      <c r="BC390" s="251"/>
      <c r="BD390" s="251"/>
      <c r="BE390" s="251"/>
      <c r="BF390" s="251"/>
      <c r="BG390" s="251"/>
      <c r="BH390" s="251"/>
      <c r="BI390" s="251"/>
      <c r="BJ390" s="251"/>
      <c r="BK390" s="251"/>
      <c r="BL390" s="251"/>
      <c r="BM390" s="251"/>
      <c r="BN390" s="251"/>
      <c r="BO390" s="251"/>
      <c r="BP390" s="251"/>
      <c r="BQ390" s="251"/>
      <c r="BR390" s="251"/>
      <c r="BS390" s="251"/>
      <c r="BT390" s="251"/>
      <c r="BU390" s="251"/>
      <c r="BV390" s="251"/>
      <c r="BW390" s="251"/>
      <c r="BX390" s="251"/>
      <c r="BY390" s="251"/>
      <c r="BZ390" s="251"/>
      <c r="CA390" s="251"/>
      <c r="CB390" s="251"/>
      <c r="CC390" s="251"/>
      <c r="CD390" s="251"/>
      <c r="CE390" s="251"/>
      <c r="CF390" s="251"/>
      <c r="CG390" s="251"/>
      <c r="CH390" s="251"/>
      <c r="CI390" s="251"/>
      <c r="CJ390" s="251"/>
      <c r="CK390" s="251"/>
      <c r="CL390" s="251"/>
      <c r="CM390" s="251"/>
      <c r="CN390" s="251"/>
      <c r="CO390" s="251"/>
      <c r="CP390" s="251"/>
      <c r="CQ390" s="251"/>
      <c r="CR390" s="251"/>
      <c r="CS390" s="251"/>
      <c r="CT390" s="251"/>
      <c r="CU390" s="251"/>
      <c r="CV390" s="251"/>
      <c r="CW390" s="251"/>
      <c r="CX390" s="251"/>
      <c r="CY390" s="251"/>
      <c r="CZ390" s="251"/>
      <c r="DA390" s="251"/>
      <c r="DB390" s="251"/>
      <c r="DC390" s="251"/>
      <c r="DD390" s="251"/>
      <c r="DE390" s="251"/>
      <c r="DF390" s="251"/>
      <c r="DG390" s="251"/>
      <c r="DH390" s="251"/>
      <c r="DI390" s="251"/>
      <c r="DJ390" s="251"/>
      <c r="DK390" s="251"/>
      <c r="DL390" s="251"/>
      <c r="DM390" s="251"/>
      <c r="DN390" s="251"/>
      <c r="DO390" s="251"/>
      <c r="DP390" s="251"/>
      <c r="DQ390" s="251"/>
      <c r="DR390" s="251"/>
      <c r="DS390" s="251"/>
      <c r="DT390" s="251"/>
      <c r="DU390" s="251"/>
      <c r="DV390" s="251"/>
      <c r="DW390" s="251"/>
      <c r="DX390" s="251"/>
      <c r="DY390" s="251"/>
      <c r="DZ390" s="251"/>
      <c r="EA390" s="251"/>
      <c r="EB390" s="251"/>
      <c r="EC390" s="251"/>
      <c r="ED390" s="251"/>
      <c r="EE390" s="251"/>
      <c r="EF390" s="251"/>
      <c r="EG390" s="251"/>
      <c r="EH390" s="251"/>
      <c r="EI390" s="251"/>
      <c r="EJ390" s="251"/>
      <c r="EK390" s="251"/>
      <c r="EL390" s="251"/>
      <c r="EM390" s="251"/>
      <c r="EN390" s="251"/>
      <c r="EO390" s="251"/>
      <c r="EP390" s="251"/>
      <c r="EQ390" s="251"/>
      <c r="ER390" s="251"/>
      <c r="ES390" s="251"/>
      <c r="ET390" s="251"/>
      <c r="EU390" s="251"/>
      <c r="EV390" s="251"/>
      <c r="EW390" s="251"/>
      <c r="EX390" s="251"/>
      <c r="EY390" s="251"/>
      <c r="EZ390" s="251"/>
      <c r="FA390" s="251"/>
      <c r="FB390" s="251"/>
      <c r="FC390" s="251"/>
      <c r="FD390" s="251"/>
      <c r="FE390" s="251"/>
      <c r="FF390" s="251"/>
      <c r="FG390" s="251"/>
      <c r="FH390" s="251"/>
      <c r="FI390" s="251"/>
      <c r="FJ390" s="251"/>
      <c r="FK390" s="251"/>
      <c r="FL390" s="251"/>
      <c r="FM390" s="251"/>
    </row>
    <row r="391" spans="1:189" s="254" customFormat="1" ht="31.5" x14ac:dyDescent="0.25">
      <c r="A391" s="259" t="s">
        <v>189</v>
      </c>
      <c r="B391" s="260">
        <f t="shared" si="536"/>
        <v>2400</v>
      </c>
      <c r="C391" s="260">
        <f t="shared" si="536"/>
        <v>2400</v>
      </c>
      <c r="D391" s="260">
        <f t="shared" si="536"/>
        <v>0</v>
      </c>
      <c r="E391" s="260"/>
      <c r="F391" s="260"/>
      <c r="G391" s="260">
        <f t="shared" si="572"/>
        <v>0</v>
      </c>
      <c r="H391" s="260"/>
      <c r="I391" s="260"/>
      <c r="J391" s="260">
        <f t="shared" si="505"/>
        <v>0</v>
      </c>
      <c r="K391" s="260">
        <v>2400</v>
      </c>
      <c r="L391" s="260">
        <v>2400</v>
      </c>
      <c r="M391" s="260">
        <f t="shared" si="508"/>
        <v>0</v>
      </c>
      <c r="N391" s="260"/>
      <c r="O391" s="260"/>
      <c r="P391" s="260">
        <f t="shared" si="511"/>
        <v>0</v>
      </c>
      <c r="Q391" s="260"/>
      <c r="R391" s="260"/>
      <c r="S391" s="260">
        <f t="shared" si="514"/>
        <v>0</v>
      </c>
      <c r="T391" s="260"/>
      <c r="U391" s="260"/>
      <c r="V391" s="260">
        <f t="shared" si="517"/>
        <v>0</v>
      </c>
      <c r="W391" s="260"/>
      <c r="X391" s="260"/>
      <c r="Y391" s="260">
        <f t="shared" si="519"/>
        <v>0</v>
      </c>
      <c r="Z391" s="260"/>
      <c r="AA391" s="260"/>
      <c r="AB391" s="260">
        <f t="shared" si="522"/>
        <v>0</v>
      </c>
      <c r="FN391" s="251"/>
      <c r="FO391" s="251"/>
      <c r="FP391" s="251"/>
      <c r="FQ391" s="251"/>
      <c r="FR391" s="251"/>
      <c r="FS391" s="251"/>
      <c r="FT391" s="251"/>
      <c r="FU391" s="251"/>
      <c r="FV391" s="251"/>
      <c r="FW391" s="251"/>
      <c r="FX391" s="251"/>
      <c r="FY391" s="251"/>
      <c r="FZ391" s="251"/>
      <c r="GA391" s="251"/>
      <c r="GB391" s="251"/>
      <c r="GC391" s="251"/>
      <c r="GD391" s="251"/>
      <c r="GE391" s="251"/>
      <c r="GF391" s="251"/>
      <c r="GG391" s="251"/>
    </row>
    <row r="392" spans="1:189" s="254" customFormat="1" ht="31.5" x14ac:dyDescent="0.25">
      <c r="A392" s="259" t="s">
        <v>190</v>
      </c>
      <c r="B392" s="260">
        <f t="shared" si="536"/>
        <v>918</v>
      </c>
      <c r="C392" s="260">
        <f t="shared" si="536"/>
        <v>918</v>
      </c>
      <c r="D392" s="260">
        <f t="shared" si="536"/>
        <v>0</v>
      </c>
      <c r="E392" s="260"/>
      <c r="F392" s="260"/>
      <c r="G392" s="260">
        <f t="shared" si="572"/>
        <v>0</v>
      </c>
      <c r="H392" s="260"/>
      <c r="I392" s="260"/>
      <c r="J392" s="260">
        <f t="shared" si="505"/>
        <v>0</v>
      </c>
      <c r="K392" s="260">
        <v>918</v>
      </c>
      <c r="L392" s="260">
        <v>918</v>
      </c>
      <c r="M392" s="260">
        <f t="shared" si="508"/>
        <v>0</v>
      </c>
      <c r="N392" s="260"/>
      <c r="O392" s="260"/>
      <c r="P392" s="260">
        <f t="shared" si="511"/>
        <v>0</v>
      </c>
      <c r="Q392" s="260"/>
      <c r="R392" s="260"/>
      <c r="S392" s="260">
        <f t="shared" si="514"/>
        <v>0</v>
      </c>
      <c r="T392" s="260"/>
      <c r="U392" s="260"/>
      <c r="V392" s="260">
        <f t="shared" si="517"/>
        <v>0</v>
      </c>
      <c r="W392" s="260"/>
      <c r="X392" s="260"/>
      <c r="Y392" s="260">
        <f t="shared" si="519"/>
        <v>0</v>
      </c>
      <c r="Z392" s="260"/>
      <c r="AA392" s="260"/>
      <c r="AB392" s="260">
        <f t="shared" si="522"/>
        <v>0</v>
      </c>
      <c r="FN392" s="251"/>
      <c r="FO392" s="251"/>
      <c r="FP392" s="251"/>
      <c r="FQ392" s="251"/>
      <c r="FR392" s="251"/>
      <c r="FS392" s="251"/>
      <c r="FT392" s="251"/>
      <c r="FU392" s="251"/>
      <c r="FV392" s="251"/>
      <c r="FW392" s="251"/>
      <c r="FX392" s="251"/>
      <c r="FY392" s="251"/>
      <c r="FZ392" s="251"/>
      <c r="GA392" s="251"/>
      <c r="GB392" s="251"/>
      <c r="GC392" s="251"/>
      <c r="GD392" s="251"/>
      <c r="GE392" s="251"/>
      <c r="GF392" s="251"/>
      <c r="GG392" s="251"/>
    </row>
    <row r="393" spans="1:189" s="254" customFormat="1" ht="31.5" x14ac:dyDescent="0.25">
      <c r="A393" s="252" t="s">
        <v>107</v>
      </c>
      <c r="B393" s="253">
        <f t="shared" si="536"/>
        <v>997275</v>
      </c>
      <c r="C393" s="253">
        <f t="shared" si="536"/>
        <v>997275</v>
      </c>
      <c r="D393" s="253">
        <f t="shared" si="536"/>
        <v>0</v>
      </c>
      <c r="E393" s="253">
        <f t="shared" ref="E393:AA393" si="673">SUM(E394:E394)</f>
        <v>0</v>
      </c>
      <c r="F393" s="253">
        <f t="shared" si="673"/>
        <v>0</v>
      </c>
      <c r="G393" s="253">
        <f t="shared" si="572"/>
        <v>0</v>
      </c>
      <c r="H393" s="253">
        <f t="shared" si="673"/>
        <v>0</v>
      </c>
      <c r="I393" s="253">
        <f t="shared" si="673"/>
        <v>0</v>
      </c>
      <c r="J393" s="253">
        <f t="shared" si="505"/>
        <v>0</v>
      </c>
      <c r="K393" s="253">
        <f t="shared" si="673"/>
        <v>0</v>
      </c>
      <c r="L393" s="253">
        <f t="shared" si="673"/>
        <v>0</v>
      </c>
      <c r="M393" s="253">
        <f t="shared" si="508"/>
        <v>0</v>
      </c>
      <c r="N393" s="253">
        <f t="shared" si="673"/>
        <v>997275</v>
      </c>
      <c r="O393" s="253">
        <f t="shared" si="673"/>
        <v>997275</v>
      </c>
      <c r="P393" s="253">
        <f t="shared" si="511"/>
        <v>0</v>
      </c>
      <c r="Q393" s="253">
        <f t="shared" si="673"/>
        <v>0</v>
      </c>
      <c r="R393" s="253">
        <f t="shared" si="673"/>
        <v>0</v>
      </c>
      <c r="S393" s="253">
        <f t="shared" si="514"/>
        <v>0</v>
      </c>
      <c r="T393" s="253">
        <f t="shared" si="673"/>
        <v>0</v>
      </c>
      <c r="U393" s="253">
        <f t="shared" si="673"/>
        <v>0</v>
      </c>
      <c r="V393" s="253">
        <f t="shared" si="517"/>
        <v>0</v>
      </c>
      <c r="W393" s="253">
        <f t="shared" si="673"/>
        <v>0</v>
      </c>
      <c r="X393" s="253">
        <f t="shared" si="673"/>
        <v>0</v>
      </c>
      <c r="Y393" s="253">
        <f t="shared" si="519"/>
        <v>0</v>
      </c>
      <c r="Z393" s="253">
        <f t="shared" si="673"/>
        <v>0</v>
      </c>
      <c r="AA393" s="253">
        <f t="shared" si="673"/>
        <v>0</v>
      </c>
      <c r="AB393" s="253">
        <f t="shared" si="522"/>
        <v>0</v>
      </c>
      <c r="AC393" s="251"/>
      <c r="AD393" s="251"/>
      <c r="AE393" s="251"/>
      <c r="AF393" s="251"/>
      <c r="AG393" s="251"/>
      <c r="AH393" s="251"/>
      <c r="AI393" s="251"/>
      <c r="AJ393" s="251"/>
      <c r="AK393" s="251"/>
      <c r="AL393" s="251"/>
      <c r="AM393" s="251"/>
      <c r="AN393" s="251"/>
      <c r="AO393" s="251"/>
      <c r="AP393" s="251"/>
      <c r="AQ393" s="251"/>
      <c r="AR393" s="251"/>
      <c r="AS393" s="251"/>
      <c r="AT393" s="251"/>
      <c r="AU393" s="251"/>
      <c r="AV393" s="251"/>
      <c r="AW393" s="251"/>
      <c r="AX393" s="251"/>
      <c r="AY393" s="251"/>
      <c r="AZ393" s="251"/>
      <c r="BA393" s="251"/>
      <c r="BB393" s="251"/>
      <c r="BC393" s="251"/>
      <c r="BD393" s="251"/>
      <c r="BE393" s="251"/>
      <c r="BF393" s="251"/>
      <c r="BG393" s="251"/>
      <c r="BH393" s="251"/>
      <c r="BI393" s="251"/>
      <c r="BJ393" s="251"/>
      <c r="BK393" s="251"/>
      <c r="BL393" s="251"/>
      <c r="BM393" s="251"/>
      <c r="BN393" s="251"/>
      <c r="BO393" s="251"/>
      <c r="BP393" s="251"/>
      <c r="BQ393" s="251"/>
      <c r="BR393" s="251"/>
      <c r="BS393" s="251"/>
      <c r="BT393" s="251"/>
      <c r="BU393" s="251"/>
      <c r="BV393" s="251"/>
      <c r="BW393" s="251"/>
      <c r="BX393" s="251"/>
      <c r="BY393" s="251"/>
      <c r="BZ393" s="251"/>
      <c r="CA393" s="251"/>
      <c r="CB393" s="251"/>
      <c r="CC393" s="251"/>
      <c r="CD393" s="251"/>
      <c r="CE393" s="251"/>
      <c r="CF393" s="251"/>
      <c r="CG393" s="251"/>
      <c r="CH393" s="251"/>
      <c r="CI393" s="251"/>
      <c r="CJ393" s="251"/>
      <c r="CK393" s="251"/>
      <c r="CL393" s="251"/>
      <c r="CM393" s="251"/>
      <c r="CN393" s="251"/>
      <c r="CO393" s="251"/>
      <c r="CP393" s="251"/>
      <c r="CQ393" s="251"/>
      <c r="CR393" s="251"/>
      <c r="CS393" s="251"/>
      <c r="CT393" s="251"/>
      <c r="CU393" s="251"/>
      <c r="CV393" s="251"/>
      <c r="CW393" s="251"/>
      <c r="CX393" s="251"/>
      <c r="CY393" s="251"/>
      <c r="CZ393" s="251"/>
      <c r="DA393" s="251"/>
      <c r="DB393" s="251"/>
      <c r="DC393" s="251"/>
      <c r="DD393" s="251"/>
      <c r="DE393" s="251"/>
      <c r="DF393" s="251"/>
      <c r="DG393" s="251"/>
      <c r="DH393" s="251"/>
      <c r="DI393" s="251"/>
      <c r="DJ393" s="251"/>
      <c r="DK393" s="251"/>
      <c r="DL393" s="251"/>
      <c r="DM393" s="251"/>
      <c r="DN393" s="251"/>
      <c r="DO393" s="251"/>
      <c r="DP393" s="251"/>
      <c r="DQ393" s="251"/>
      <c r="DR393" s="251"/>
      <c r="DS393" s="251"/>
      <c r="DT393" s="251"/>
      <c r="DU393" s="251"/>
      <c r="DV393" s="251"/>
      <c r="DW393" s="251"/>
      <c r="DX393" s="251"/>
      <c r="DY393" s="251"/>
      <c r="DZ393" s="251"/>
      <c r="EA393" s="251"/>
      <c r="EB393" s="251"/>
      <c r="EC393" s="251"/>
      <c r="ED393" s="251"/>
      <c r="EE393" s="251"/>
      <c r="EF393" s="251"/>
      <c r="EG393" s="251"/>
      <c r="EH393" s="251"/>
      <c r="EI393" s="251"/>
      <c r="EJ393" s="251"/>
      <c r="EK393" s="251"/>
      <c r="EL393" s="251"/>
      <c r="EM393" s="251"/>
      <c r="EN393" s="251"/>
      <c r="EO393" s="251"/>
      <c r="EP393" s="251"/>
      <c r="EQ393" s="251"/>
      <c r="ER393" s="251"/>
      <c r="ES393" s="251"/>
      <c r="ET393" s="251"/>
      <c r="EU393" s="251"/>
      <c r="EV393" s="251"/>
      <c r="EW393" s="251"/>
      <c r="EX393" s="251"/>
      <c r="EY393" s="251"/>
      <c r="EZ393" s="251"/>
      <c r="FA393" s="251"/>
      <c r="FB393" s="251"/>
      <c r="FC393" s="251"/>
      <c r="FD393" s="251"/>
      <c r="FE393" s="251"/>
      <c r="FF393" s="251"/>
      <c r="FG393" s="251"/>
      <c r="FH393" s="251"/>
      <c r="FI393" s="251"/>
      <c r="FJ393" s="251"/>
      <c r="FK393" s="251"/>
      <c r="FL393" s="251"/>
      <c r="FM393" s="251"/>
    </row>
    <row r="394" spans="1:189" s="254" customFormat="1" ht="94.5" x14ac:dyDescent="0.25">
      <c r="A394" s="259" t="s">
        <v>191</v>
      </c>
      <c r="B394" s="260">
        <f t="shared" si="536"/>
        <v>997275</v>
      </c>
      <c r="C394" s="260">
        <f t="shared" si="536"/>
        <v>997275</v>
      </c>
      <c r="D394" s="260">
        <f t="shared" si="536"/>
        <v>0</v>
      </c>
      <c r="E394" s="260"/>
      <c r="F394" s="260"/>
      <c r="G394" s="260">
        <f t="shared" si="572"/>
        <v>0</v>
      </c>
      <c r="H394" s="260"/>
      <c r="I394" s="260"/>
      <c r="J394" s="260">
        <f t="shared" si="505"/>
        <v>0</v>
      </c>
      <c r="K394" s="260"/>
      <c r="L394" s="260"/>
      <c r="M394" s="260">
        <f t="shared" si="508"/>
        <v>0</v>
      </c>
      <c r="N394" s="260">
        <v>997275</v>
      </c>
      <c r="O394" s="260">
        <v>997275</v>
      </c>
      <c r="P394" s="260">
        <f t="shared" si="511"/>
        <v>0</v>
      </c>
      <c r="Q394" s="260"/>
      <c r="R394" s="260"/>
      <c r="S394" s="260">
        <f t="shared" si="514"/>
        <v>0</v>
      </c>
      <c r="T394" s="260"/>
      <c r="U394" s="260"/>
      <c r="V394" s="260">
        <f t="shared" si="517"/>
        <v>0</v>
      </c>
      <c r="W394" s="260"/>
      <c r="X394" s="260"/>
      <c r="Y394" s="260">
        <f t="shared" si="519"/>
        <v>0</v>
      </c>
      <c r="Z394" s="260"/>
      <c r="AA394" s="260"/>
      <c r="AB394" s="260">
        <f t="shared" si="522"/>
        <v>0</v>
      </c>
      <c r="FN394" s="251"/>
      <c r="FO394" s="251"/>
      <c r="FP394" s="251"/>
      <c r="FQ394" s="251"/>
      <c r="FR394" s="251"/>
      <c r="FS394" s="251"/>
      <c r="FT394" s="251"/>
      <c r="FU394" s="251"/>
      <c r="FV394" s="251"/>
      <c r="FW394" s="251"/>
      <c r="FX394" s="251"/>
      <c r="FY394" s="251"/>
      <c r="FZ394" s="251"/>
      <c r="GA394" s="251"/>
      <c r="GB394" s="251"/>
      <c r="GC394" s="251"/>
      <c r="GD394" s="251"/>
      <c r="GE394" s="251"/>
      <c r="GF394" s="251"/>
      <c r="GG394" s="251"/>
    </row>
    <row r="395" spans="1:189" s="254" customFormat="1" x14ac:dyDescent="0.25">
      <c r="A395" s="252" t="s">
        <v>113</v>
      </c>
      <c r="B395" s="253">
        <f t="shared" si="536"/>
        <v>700000</v>
      </c>
      <c r="C395" s="253">
        <f t="shared" si="536"/>
        <v>700000</v>
      </c>
      <c r="D395" s="253">
        <f t="shared" si="536"/>
        <v>0</v>
      </c>
      <c r="E395" s="253">
        <f t="shared" ref="E395:AA395" si="674">SUM(E396:E396)</f>
        <v>0</v>
      </c>
      <c r="F395" s="253">
        <f t="shared" si="674"/>
        <v>0</v>
      </c>
      <c r="G395" s="253">
        <f t="shared" si="572"/>
        <v>0</v>
      </c>
      <c r="H395" s="253">
        <f t="shared" si="674"/>
        <v>0</v>
      </c>
      <c r="I395" s="253">
        <f t="shared" si="674"/>
        <v>0</v>
      </c>
      <c r="J395" s="253">
        <f t="shared" si="505"/>
        <v>0</v>
      </c>
      <c r="K395" s="253">
        <f t="shared" si="674"/>
        <v>0</v>
      </c>
      <c r="L395" s="253">
        <f t="shared" si="674"/>
        <v>0</v>
      </c>
      <c r="M395" s="253">
        <f t="shared" si="508"/>
        <v>0</v>
      </c>
      <c r="N395" s="253">
        <f t="shared" si="674"/>
        <v>700000</v>
      </c>
      <c r="O395" s="253">
        <f t="shared" si="674"/>
        <v>700000</v>
      </c>
      <c r="P395" s="253">
        <f t="shared" si="511"/>
        <v>0</v>
      </c>
      <c r="Q395" s="253">
        <f t="shared" si="674"/>
        <v>0</v>
      </c>
      <c r="R395" s="253">
        <f t="shared" si="674"/>
        <v>0</v>
      </c>
      <c r="S395" s="253">
        <f t="shared" si="514"/>
        <v>0</v>
      </c>
      <c r="T395" s="253">
        <f t="shared" si="674"/>
        <v>0</v>
      </c>
      <c r="U395" s="253">
        <f t="shared" si="674"/>
        <v>0</v>
      </c>
      <c r="V395" s="253">
        <f t="shared" si="517"/>
        <v>0</v>
      </c>
      <c r="W395" s="253">
        <f t="shared" si="674"/>
        <v>0</v>
      </c>
      <c r="X395" s="253">
        <f t="shared" si="674"/>
        <v>0</v>
      </c>
      <c r="Y395" s="253">
        <f t="shared" si="519"/>
        <v>0</v>
      </c>
      <c r="Z395" s="253">
        <f t="shared" si="674"/>
        <v>0</v>
      </c>
      <c r="AA395" s="253">
        <f t="shared" si="674"/>
        <v>0</v>
      </c>
      <c r="AB395" s="253">
        <f t="shared" si="522"/>
        <v>0</v>
      </c>
      <c r="AC395" s="251"/>
      <c r="AD395" s="251"/>
      <c r="AE395" s="251"/>
      <c r="AF395" s="251"/>
      <c r="AG395" s="251"/>
      <c r="AH395" s="251"/>
      <c r="AI395" s="251"/>
      <c r="AJ395" s="251"/>
      <c r="AK395" s="251"/>
      <c r="AL395" s="251"/>
      <c r="AM395" s="251"/>
      <c r="AN395" s="251"/>
      <c r="AO395" s="251"/>
      <c r="AP395" s="251"/>
      <c r="AQ395" s="251"/>
      <c r="AR395" s="251"/>
      <c r="AS395" s="251"/>
      <c r="AT395" s="251"/>
      <c r="AU395" s="251"/>
      <c r="AV395" s="251"/>
      <c r="AW395" s="251"/>
      <c r="AX395" s="251"/>
      <c r="AY395" s="251"/>
      <c r="AZ395" s="251"/>
      <c r="BA395" s="251"/>
      <c r="BB395" s="251"/>
      <c r="BC395" s="251"/>
      <c r="BD395" s="251"/>
      <c r="BE395" s="251"/>
      <c r="BF395" s="251"/>
      <c r="BG395" s="251"/>
      <c r="BH395" s="251"/>
      <c r="BI395" s="251"/>
      <c r="BJ395" s="251"/>
      <c r="BK395" s="251"/>
      <c r="BL395" s="251"/>
      <c r="BM395" s="251"/>
      <c r="BN395" s="251"/>
      <c r="BO395" s="251"/>
      <c r="BP395" s="251"/>
      <c r="BQ395" s="251"/>
      <c r="BR395" s="251"/>
      <c r="BS395" s="251"/>
      <c r="BT395" s="251"/>
      <c r="BU395" s="251"/>
      <c r="BV395" s="251"/>
      <c r="BW395" s="251"/>
      <c r="BX395" s="251"/>
      <c r="BY395" s="251"/>
      <c r="BZ395" s="251"/>
      <c r="CA395" s="251"/>
      <c r="CB395" s="251"/>
      <c r="CC395" s="251"/>
      <c r="CD395" s="251"/>
      <c r="CE395" s="251"/>
      <c r="CF395" s="251"/>
      <c r="CG395" s="251"/>
      <c r="CH395" s="251"/>
      <c r="CI395" s="251"/>
      <c r="CJ395" s="251"/>
      <c r="CK395" s="251"/>
      <c r="CL395" s="251"/>
      <c r="CM395" s="251"/>
      <c r="CN395" s="251"/>
      <c r="CO395" s="251"/>
      <c r="CP395" s="251"/>
      <c r="CQ395" s="251"/>
      <c r="CR395" s="251"/>
      <c r="CS395" s="251"/>
      <c r="CT395" s="251"/>
      <c r="CU395" s="251"/>
      <c r="CV395" s="251"/>
      <c r="CW395" s="251"/>
      <c r="CX395" s="251"/>
      <c r="CY395" s="251"/>
      <c r="CZ395" s="251"/>
      <c r="DA395" s="251"/>
      <c r="DB395" s="251"/>
      <c r="DC395" s="251"/>
      <c r="DD395" s="251"/>
      <c r="DE395" s="251"/>
      <c r="DF395" s="251"/>
      <c r="DG395" s="251"/>
      <c r="DH395" s="251"/>
      <c r="DI395" s="251"/>
      <c r="DJ395" s="251"/>
      <c r="DK395" s="251"/>
      <c r="DL395" s="251"/>
      <c r="DM395" s="251"/>
      <c r="DN395" s="251"/>
      <c r="DO395" s="251"/>
      <c r="DP395" s="251"/>
      <c r="DQ395" s="251"/>
      <c r="DR395" s="251"/>
      <c r="DS395" s="251"/>
      <c r="DT395" s="251"/>
      <c r="DU395" s="251"/>
      <c r="DV395" s="251"/>
      <c r="DW395" s="251"/>
      <c r="DX395" s="251"/>
      <c r="DY395" s="251"/>
      <c r="DZ395" s="251"/>
      <c r="EA395" s="251"/>
      <c r="EB395" s="251"/>
      <c r="EC395" s="251"/>
      <c r="ED395" s="251"/>
      <c r="EE395" s="251"/>
      <c r="EF395" s="251"/>
      <c r="EG395" s="251"/>
      <c r="EH395" s="251"/>
      <c r="EI395" s="251"/>
      <c r="EJ395" s="251"/>
      <c r="EK395" s="251"/>
      <c r="EL395" s="251"/>
      <c r="EM395" s="251"/>
      <c r="EN395" s="251"/>
      <c r="EO395" s="251"/>
      <c r="EP395" s="251"/>
      <c r="EQ395" s="251"/>
      <c r="ER395" s="251"/>
      <c r="ES395" s="251"/>
      <c r="ET395" s="251"/>
      <c r="EU395" s="251"/>
      <c r="EV395" s="251"/>
      <c r="EW395" s="251"/>
      <c r="EX395" s="251"/>
      <c r="EY395" s="251"/>
      <c r="EZ395" s="251"/>
      <c r="FA395" s="251"/>
      <c r="FB395" s="251"/>
      <c r="FC395" s="251"/>
      <c r="FD395" s="251"/>
      <c r="FE395" s="251"/>
      <c r="FF395" s="251"/>
      <c r="FG395" s="251"/>
      <c r="FH395" s="251"/>
      <c r="FI395" s="251"/>
      <c r="FJ395" s="251"/>
      <c r="FK395" s="251"/>
      <c r="FL395" s="251"/>
      <c r="FM395" s="251"/>
      <c r="FN395" s="251"/>
      <c r="FO395" s="251"/>
      <c r="FP395" s="251"/>
      <c r="FQ395" s="251"/>
      <c r="FR395" s="251"/>
      <c r="FS395" s="251"/>
      <c r="FT395" s="251"/>
      <c r="FU395" s="251"/>
      <c r="FV395" s="251"/>
      <c r="FW395" s="251"/>
      <c r="FX395" s="251"/>
      <c r="FY395" s="251"/>
      <c r="FZ395" s="251"/>
      <c r="GA395" s="251"/>
      <c r="GB395" s="251"/>
      <c r="GC395" s="251"/>
      <c r="GD395" s="251"/>
      <c r="GE395" s="251"/>
      <c r="GF395" s="251"/>
      <c r="GG395" s="251"/>
    </row>
    <row r="396" spans="1:189" s="254" customFormat="1" ht="94.5" x14ac:dyDescent="0.25">
      <c r="A396" s="259" t="s">
        <v>192</v>
      </c>
      <c r="B396" s="260">
        <f t="shared" si="536"/>
        <v>700000</v>
      </c>
      <c r="C396" s="260">
        <f t="shared" si="536"/>
        <v>700000</v>
      </c>
      <c r="D396" s="260">
        <f t="shared" si="536"/>
        <v>0</v>
      </c>
      <c r="E396" s="260"/>
      <c r="F396" s="260"/>
      <c r="G396" s="260">
        <f t="shared" si="572"/>
        <v>0</v>
      </c>
      <c r="H396" s="260"/>
      <c r="I396" s="260"/>
      <c r="J396" s="260">
        <f t="shared" si="505"/>
        <v>0</v>
      </c>
      <c r="K396" s="260"/>
      <c r="L396" s="260"/>
      <c r="M396" s="260">
        <f t="shared" si="508"/>
        <v>0</v>
      </c>
      <c r="N396" s="260">
        <v>700000</v>
      </c>
      <c r="O396" s="260">
        <v>700000</v>
      </c>
      <c r="P396" s="260">
        <f t="shared" si="511"/>
        <v>0</v>
      </c>
      <c r="Q396" s="260"/>
      <c r="R396" s="260"/>
      <c r="S396" s="260">
        <f t="shared" si="514"/>
        <v>0</v>
      </c>
      <c r="T396" s="260"/>
      <c r="U396" s="260"/>
      <c r="V396" s="260">
        <f t="shared" si="517"/>
        <v>0</v>
      </c>
      <c r="W396" s="260"/>
      <c r="X396" s="260"/>
      <c r="Y396" s="260">
        <f t="shared" si="519"/>
        <v>0</v>
      </c>
      <c r="Z396" s="260"/>
      <c r="AA396" s="260"/>
      <c r="AB396" s="260">
        <f t="shared" si="522"/>
        <v>0</v>
      </c>
      <c r="FN396" s="251"/>
      <c r="FO396" s="251"/>
      <c r="FP396" s="251"/>
      <c r="FQ396" s="251"/>
      <c r="FR396" s="251"/>
      <c r="FS396" s="251"/>
      <c r="FT396" s="251"/>
      <c r="FU396" s="251"/>
      <c r="FV396" s="251"/>
      <c r="FW396" s="251"/>
      <c r="FX396" s="251"/>
      <c r="FY396" s="251"/>
      <c r="FZ396" s="251"/>
      <c r="GA396" s="251"/>
      <c r="GB396" s="251"/>
      <c r="GC396" s="251"/>
      <c r="GD396" s="251"/>
      <c r="GE396" s="251"/>
      <c r="GF396" s="251"/>
      <c r="GG396" s="251"/>
    </row>
    <row r="397" spans="1:189" s="254" customFormat="1" x14ac:dyDescent="0.25">
      <c r="A397" s="252" t="s">
        <v>149</v>
      </c>
      <c r="B397" s="253">
        <f t="shared" si="536"/>
        <v>700000</v>
      </c>
      <c r="C397" s="253">
        <f t="shared" si="536"/>
        <v>700000</v>
      </c>
      <c r="D397" s="253">
        <f t="shared" si="536"/>
        <v>0</v>
      </c>
      <c r="E397" s="253">
        <f t="shared" ref="E397:AA397" si="675">SUM(E398:E398)</f>
        <v>0</v>
      </c>
      <c r="F397" s="253">
        <f t="shared" si="675"/>
        <v>0</v>
      </c>
      <c r="G397" s="253">
        <f t="shared" si="572"/>
        <v>0</v>
      </c>
      <c r="H397" s="253">
        <f t="shared" si="675"/>
        <v>0</v>
      </c>
      <c r="I397" s="253">
        <f t="shared" si="675"/>
        <v>0</v>
      </c>
      <c r="J397" s="253">
        <f t="shared" si="505"/>
        <v>0</v>
      </c>
      <c r="K397" s="253">
        <f t="shared" si="675"/>
        <v>0</v>
      </c>
      <c r="L397" s="253">
        <f t="shared" si="675"/>
        <v>0</v>
      </c>
      <c r="M397" s="253">
        <f t="shared" si="508"/>
        <v>0</v>
      </c>
      <c r="N397" s="253">
        <f t="shared" si="675"/>
        <v>700000</v>
      </c>
      <c r="O397" s="253">
        <f t="shared" si="675"/>
        <v>700000</v>
      </c>
      <c r="P397" s="253">
        <f t="shared" si="511"/>
        <v>0</v>
      </c>
      <c r="Q397" s="253">
        <f t="shared" si="675"/>
        <v>0</v>
      </c>
      <c r="R397" s="253">
        <f t="shared" si="675"/>
        <v>0</v>
      </c>
      <c r="S397" s="253">
        <f t="shared" si="514"/>
        <v>0</v>
      </c>
      <c r="T397" s="253">
        <f t="shared" si="675"/>
        <v>0</v>
      </c>
      <c r="U397" s="253">
        <f t="shared" si="675"/>
        <v>0</v>
      </c>
      <c r="V397" s="253">
        <f t="shared" si="517"/>
        <v>0</v>
      </c>
      <c r="W397" s="253">
        <f t="shared" si="675"/>
        <v>0</v>
      </c>
      <c r="X397" s="253">
        <f t="shared" si="675"/>
        <v>0</v>
      </c>
      <c r="Y397" s="253">
        <f t="shared" si="519"/>
        <v>0</v>
      </c>
      <c r="Z397" s="253">
        <f t="shared" si="675"/>
        <v>0</v>
      </c>
      <c r="AA397" s="253">
        <f t="shared" si="675"/>
        <v>0</v>
      </c>
      <c r="AB397" s="253">
        <f t="shared" si="522"/>
        <v>0</v>
      </c>
      <c r="AC397" s="251"/>
      <c r="AD397" s="251"/>
      <c r="AE397" s="251"/>
      <c r="AF397" s="251"/>
      <c r="AG397" s="251"/>
      <c r="AH397" s="251"/>
      <c r="AI397" s="251"/>
      <c r="AJ397" s="251"/>
      <c r="AK397" s="251"/>
      <c r="AL397" s="251"/>
      <c r="AM397" s="251"/>
      <c r="AN397" s="251"/>
      <c r="AO397" s="251"/>
      <c r="AP397" s="251"/>
      <c r="AQ397" s="251"/>
      <c r="AR397" s="251"/>
      <c r="AS397" s="251"/>
      <c r="AT397" s="251"/>
      <c r="AU397" s="251"/>
      <c r="AV397" s="251"/>
      <c r="AW397" s="251"/>
      <c r="AX397" s="251"/>
      <c r="AY397" s="251"/>
      <c r="AZ397" s="251"/>
      <c r="BA397" s="251"/>
      <c r="BB397" s="251"/>
      <c r="BC397" s="251"/>
      <c r="BD397" s="251"/>
      <c r="BE397" s="251"/>
      <c r="BF397" s="251"/>
      <c r="BG397" s="251"/>
      <c r="BH397" s="251"/>
      <c r="BI397" s="251"/>
      <c r="BJ397" s="251"/>
      <c r="BK397" s="251"/>
      <c r="BL397" s="251"/>
      <c r="BM397" s="251"/>
      <c r="BN397" s="251"/>
      <c r="BO397" s="251"/>
      <c r="BP397" s="251"/>
      <c r="BQ397" s="251"/>
      <c r="BR397" s="251"/>
      <c r="BS397" s="251"/>
      <c r="BT397" s="251"/>
      <c r="BU397" s="251"/>
      <c r="BV397" s="251"/>
      <c r="BW397" s="251"/>
      <c r="BX397" s="251"/>
      <c r="BY397" s="251"/>
      <c r="BZ397" s="251"/>
      <c r="CA397" s="251"/>
      <c r="CB397" s="251"/>
      <c r="CC397" s="251"/>
      <c r="CD397" s="251"/>
      <c r="CE397" s="251"/>
      <c r="CF397" s="251"/>
      <c r="CG397" s="251"/>
      <c r="CH397" s="251"/>
      <c r="CI397" s="251"/>
      <c r="CJ397" s="251"/>
      <c r="CK397" s="251"/>
      <c r="CL397" s="251"/>
      <c r="CM397" s="251"/>
      <c r="CN397" s="251"/>
      <c r="CO397" s="251"/>
      <c r="CP397" s="251"/>
      <c r="CQ397" s="251"/>
      <c r="CR397" s="251"/>
      <c r="CS397" s="251"/>
      <c r="CT397" s="251"/>
      <c r="CU397" s="251"/>
      <c r="CV397" s="251"/>
      <c r="CW397" s="251"/>
      <c r="CX397" s="251"/>
      <c r="CY397" s="251"/>
      <c r="CZ397" s="251"/>
      <c r="DA397" s="251"/>
      <c r="DB397" s="251"/>
      <c r="DC397" s="251"/>
      <c r="DD397" s="251"/>
      <c r="DE397" s="251"/>
      <c r="DF397" s="251"/>
      <c r="DG397" s="251"/>
      <c r="DH397" s="251"/>
      <c r="DI397" s="251"/>
      <c r="DJ397" s="251"/>
      <c r="DK397" s="251"/>
      <c r="DL397" s="251"/>
      <c r="DM397" s="251"/>
      <c r="DN397" s="251"/>
      <c r="DO397" s="251"/>
      <c r="DP397" s="251"/>
      <c r="DQ397" s="251"/>
      <c r="DR397" s="251"/>
      <c r="DS397" s="251"/>
      <c r="DT397" s="251"/>
      <c r="DU397" s="251"/>
      <c r="DV397" s="251"/>
      <c r="DW397" s="251"/>
      <c r="DX397" s="251"/>
      <c r="DY397" s="251"/>
      <c r="DZ397" s="251"/>
      <c r="EA397" s="251"/>
      <c r="EB397" s="251"/>
      <c r="EC397" s="251"/>
      <c r="ED397" s="251"/>
      <c r="EE397" s="251"/>
      <c r="EF397" s="251"/>
      <c r="EG397" s="251"/>
      <c r="EH397" s="251"/>
      <c r="EI397" s="251"/>
      <c r="EJ397" s="251"/>
      <c r="EK397" s="251"/>
      <c r="EL397" s="251"/>
      <c r="EM397" s="251"/>
      <c r="EN397" s="251"/>
      <c r="EO397" s="251"/>
      <c r="EP397" s="251"/>
      <c r="EQ397" s="251"/>
      <c r="ER397" s="251"/>
      <c r="ES397" s="251"/>
      <c r="ET397" s="251"/>
      <c r="EU397" s="251"/>
      <c r="EV397" s="251"/>
      <c r="EW397" s="251"/>
      <c r="EX397" s="251"/>
      <c r="EY397" s="251"/>
      <c r="EZ397" s="251"/>
      <c r="FA397" s="251"/>
      <c r="FB397" s="251"/>
      <c r="FC397" s="251"/>
      <c r="FD397" s="251"/>
      <c r="FE397" s="251"/>
      <c r="FF397" s="251"/>
      <c r="FG397" s="251"/>
      <c r="FH397" s="251"/>
      <c r="FI397" s="251"/>
      <c r="FJ397" s="251"/>
      <c r="FK397" s="251"/>
      <c r="FL397" s="251"/>
      <c r="FM397" s="251"/>
      <c r="FN397" s="251"/>
      <c r="FO397" s="251"/>
      <c r="FP397" s="251"/>
      <c r="FQ397" s="251"/>
      <c r="FR397" s="251"/>
      <c r="FS397" s="251"/>
      <c r="FT397" s="251"/>
      <c r="FU397" s="251"/>
      <c r="FV397" s="251"/>
      <c r="FW397" s="251"/>
      <c r="FX397" s="251"/>
      <c r="FY397" s="251"/>
      <c r="FZ397" s="251"/>
      <c r="GA397" s="251"/>
      <c r="GB397" s="251"/>
      <c r="GC397" s="251"/>
      <c r="GD397" s="251"/>
      <c r="GE397" s="251"/>
      <c r="GF397" s="251"/>
      <c r="GG397" s="251"/>
    </row>
    <row r="398" spans="1:189" s="254" customFormat="1" ht="78.75" x14ac:dyDescent="0.25">
      <c r="A398" s="259" t="s">
        <v>193</v>
      </c>
      <c r="B398" s="260">
        <f t="shared" si="536"/>
        <v>700000</v>
      </c>
      <c r="C398" s="260">
        <f t="shared" si="536"/>
        <v>700000</v>
      </c>
      <c r="D398" s="260">
        <f t="shared" si="536"/>
        <v>0</v>
      </c>
      <c r="E398" s="260"/>
      <c r="F398" s="260"/>
      <c r="G398" s="260">
        <f t="shared" si="572"/>
        <v>0</v>
      </c>
      <c r="H398" s="260"/>
      <c r="I398" s="260"/>
      <c r="J398" s="260">
        <f t="shared" si="505"/>
        <v>0</v>
      </c>
      <c r="K398" s="260"/>
      <c r="L398" s="260"/>
      <c r="M398" s="260">
        <f t="shared" si="508"/>
        <v>0</v>
      </c>
      <c r="N398" s="260">
        <v>700000</v>
      </c>
      <c r="O398" s="260">
        <v>700000</v>
      </c>
      <c r="P398" s="260">
        <f t="shared" si="511"/>
        <v>0</v>
      </c>
      <c r="Q398" s="260"/>
      <c r="R398" s="260"/>
      <c r="S398" s="260">
        <f t="shared" si="514"/>
        <v>0</v>
      </c>
      <c r="T398" s="260"/>
      <c r="U398" s="260"/>
      <c r="V398" s="260">
        <f t="shared" si="517"/>
        <v>0</v>
      </c>
      <c r="W398" s="260"/>
      <c r="X398" s="260"/>
      <c r="Y398" s="260">
        <f t="shared" si="519"/>
        <v>0</v>
      </c>
      <c r="Z398" s="260"/>
      <c r="AA398" s="260"/>
      <c r="AB398" s="260">
        <f t="shared" si="522"/>
        <v>0</v>
      </c>
      <c r="FN398" s="251"/>
      <c r="FO398" s="251"/>
      <c r="FP398" s="251"/>
      <c r="FQ398" s="251"/>
      <c r="FR398" s="251"/>
      <c r="FS398" s="251"/>
      <c r="FT398" s="251"/>
      <c r="FU398" s="251"/>
      <c r="FV398" s="251"/>
      <c r="FW398" s="251"/>
      <c r="FX398" s="251"/>
      <c r="FY398" s="251"/>
      <c r="FZ398" s="251"/>
      <c r="GA398" s="251"/>
      <c r="GB398" s="251"/>
      <c r="GC398" s="251"/>
      <c r="GD398" s="251"/>
      <c r="GE398" s="251"/>
      <c r="GF398" s="251"/>
      <c r="GG398" s="251"/>
    </row>
    <row r="399" spans="1:189" s="251" customFormat="1" x14ac:dyDescent="0.25">
      <c r="A399" s="252" t="s">
        <v>194</v>
      </c>
      <c r="B399" s="253">
        <f t="shared" si="536"/>
        <v>131697</v>
      </c>
      <c r="C399" s="253">
        <f t="shared" si="536"/>
        <v>133255</v>
      </c>
      <c r="D399" s="253">
        <f t="shared" si="536"/>
        <v>1558</v>
      </c>
      <c r="E399" s="253">
        <f>SUM(E400,E405,E411)</f>
        <v>0</v>
      </c>
      <c r="F399" s="253">
        <f>SUM(F400,F405,F411)</f>
        <v>0</v>
      </c>
      <c r="G399" s="253">
        <f t="shared" si="572"/>
        <v>0</v>
      </c>
      <c r="H399" s="253">
        <f t="shared" ref="H399" si="676">SUM(H400,H405,H411)</f>
        <v>0</v>
      </c>
      <c r="I399" s="253">
        <f t="shared" ref="I399" si="677">SUM(I400,I405,I411)</f>
        <v>0</v>
      </c>
      <c r="J399" s="253">
        <f t="shared" si="505"/>
        <v>0</v>
      </c>
      <c r="K399" s="253">
        <f t="shared" ref="K399" si="678">SUM(K400,K405,K411)</f>
        <v>96426</v>
      </c>
      <c r="L399" s="253">
        <f t="shared" ref="L399" si="679">SUM(L400,L405,L411)</f>
        <v>97984</v>
      </c>
      <c r="M399" s="253">
        <f t="shared" si="508"/>
        <v>1558</v>
      </c>
      <c r="N399" s="253">
        <f t="shared" ref="N399" si="680">SUM(N400,N405,N411)</f>
        <v>0</v>
      </c>
      <c r="O399" s="253">
        <f t="shared" ref="O399" si="681">SUM(O400,O405,O411)</f>
        <v>0</v>
      </c>
      <c r="P399" s="253">
        <f t="shared" si="511"/>
        <v>0</v>
      </c>
      <c r="Q399" s="253">
        <f t="shared" ref="Q399" si="682">SUM(Q400,Q405,Q411)</f>
        <v>12396</v>
      </c>
      <c r="R399" s="253">
        <f t="shared" ref="R399" si="683">SUM(R400,R405,R411)</f>
        <v>12396</v>
      </c>
      <c r="S399" s="253">
        <f t="shared" si="514"/>
        <v>0</v>
      </c>
      <c r="T399" s="253">
        <f t="shared" ref="T399" si="684">SUM(T400,T405,T411)</f>
        <v>0</v>
      </c>
      <c r="U399" s="253">
        <f t="shared" ref="U399" si="685">SUM(U400,U405,U411)</f>
        <v>0</v>
      </c>
      <c r="V399" s="253">
        <f t="shared" si="517"/>
        <v>0</v>
      </c>
      <c r="W399" s="253">
        <f t="shared" ref="W399:X399" si="686">SUM(W400,W405,W411)</f>
        <v>1935</v>
      </c>
      <c r="X399" s="253">
        <f t="shared" si="686"/>
        <v>1935</v>
      </c>
      <c r="Y399" s="253">
        <f t="shared" si="519"/>
        <v>0</v>
      </c>
      <c r="Z399" s="253">
        <f t="shared" ref="Z399" si="687">SUM(Z400,Z405,Z411)</f>
        <v>20940</v>
      </c>
      <c r="AA399" s="253">
        <f t="shared" ref="AA399" si="688">SUM(AA400,AA405,AA411)</f>
        <v>20940</v>
      </c>
      <c r="AB399" s="253">
        <f t="shared" si="522"/>
        <v>0</v>
      </c>
      <c r="FN399" s="254"/>
      <c r="FO399" s="254"/>
      <c r="FP399" s="254"/>
      <c r="FQ399" s="254"/>
      <c r="FR399" s="254"/>
      <c r="FS399" s="254"/>
      <c r="FT399" s="254"/>
      <c r="FU399" s="254"/>
      <c r="FV399" s="254"/>
      <c r="FW399" s="254"/>
      <c r="FX399" s="254"/>
      <c r="FY399" s="254"/>
      <c r="FZ399" s="254"/>
      <c r="GA399" s="254"/>
      <c r="GB399" s="254"/>
      <c r="GC399" s="254"/>
      <c r="GD399" s="254"/>
      <c r="GE399" s="254"/>
      <c r="GF399" s="254"/>
      <c r="GG399" s="254"/>
    </row>
    <row r="400" spans="1:189" s="254" customFormat="1" x14ac:dyDescent="0.25">
      <c r="A400" s="252" t="s">
        <v>12</v>
      </c>
      <c r="B400" s="253">
        <f t="shared" si="536"/>
        <v>107940</v>
      </c>
      <c r="C400" s="253">
        <f t="shared" si="536"/>
        <v>107940</v>
      </c>
      <c r="D400" s="253">
        <f t="shared" si="536"/>
        <v>0</v>
      </c>
      <c r="E400" s="253">
        <f>SUM(E401)</f>
        <v>0</v>
      </c>
      <c r="F400" s="253">
        <f>SUM(F401)</f>
        <v>0</v>
      </c>
      <c r="G400" s="253">
        <f t="shared" si="572"/>
        <v>0</v>
      </c>
      <c r="H400" s="253">
        <f t="shared" ref="H400:I400" si="689">SUM(H401)</f>
        <v>0</v>
      </c>
      <c r="I400" s="253">
        <f t="shared" si="689"/>
        <v>0</v>
      </c>
      <c r="J400" s="253">
        <f t="shared" si="505"/>
        <v>0</v>
      </c>
      <c r="K400" s="253">
        <f t="shared" ref="K400:L400" si="690">SUM(K401)</f>
        <v>87000</v>
      </c>
      <c r="L400" s="253">
        <f t="shared" si="690"/>
        <v>87000</v>
      </c>
      <c r="M400" s="253">
        <f t="shared" si="508"/>
        <v>0</v>
      </c>
      <c r="N400" s="253">
        <f t="shared" ref="N400:O400" si="691">SUM(N401)</f>
        <v>0</v>
      </c>
      <c r="O400" s="253">
        <f t="shared" si="691"/>
        <v>0</v>
      </c>
      <c r="P400" s="253">
        <f t="shared" si="511"/>
        <v>0</v>
      </c>
      <c r="Q400" s="253">
        <f t="shared" ref="Q400:R400" si="692">SUM(Q401)</f>
        <v>0</v>
      </c>
      <c r="R400" s="253">
        <f t="shared" si="692"/>
        <v>0</v>
      </c>
      <c r="S400" s="253">
        <f t="shared" si="514"/>
        <v>0</v>
      </c>
      <c r="T400" s="253">
        <f t="shared" ref="T400:U400" si="693">SUM(T401)</f>
        <v>0</v>
      </c>
      <c r="U400" s="253">
        <f t="shared" si="693"/>
        <v>0</v>
      </c>
      <c r="V400" s="253">
        <f t="shared" si="517"/>
        <v>0</v>
      </c>
      <c r="W400" s="253">
        <f t="shared" ref="W400:X400" si="694">SUM(W401)</f>
        <v>0</v>
      </c>
      <c r="X400" s="253">
        <f t="shared" si="694"/>
        <v>0</v>
      </c>
      <c r="Y400" s="253">
        <f t="shared" si="519"/>
        <v>0</v>
      </c>
      <c r="Z400" s="253">
        <f t="shared" ref="Z400:AA400" si="695">SUM(Z401)</f>
        <v>20940</v>
      </c>
      <c r="AA400" s="253">
        <f t="shared" si="695"/>
        <v>20940</v>
      </c>
      <c r="AB400" s="253">
        <f t="shared" si="522"/>
        <v>0</v>
      </c>
    </row>
    <row r="401" spans="1:189" s="254" customFormat="1" ht="31.5" x14ac:dyDescent="0.25">
      <c r="A401" s="252" t="s">
        <v>195</v>
      </c>
      <c r="B401" s="253">
        <f t="shared" si="536"/>
        <v>107940</v>
      </c>
      <c r="C401" s="253">
        <f t="shared" si="536"/>
        <v>107940</v>
      </c>
      <c r="D401" s="253">
        <f t="shared" si="536"/>
        <v>0</v>
      </c>
      <c r="E401" s="253">
        <f t="shared" ref="E401" si="696">SUM(E402:E404)</f>
        <v>0</v>
      </c>
      <c r="F401" s="253">
        <f t="shared" ref="F401" si="697">SUM(F402:F404)</f>
        <v>0</v>
      </c>
      <c r="G401" s="253">
        <f t="shared" si="572"/>
        <v>0</v>
      </c>
      <c r="H401" s="253">
        <f t="shared" ref="H401" si="698">SUM(H402:H404)</f>
        <v>0</v>
      </c>
      <c r="I401" s="253">
        <f t="shared" ref="I401:AA401" si="699">SUM(I402:I404)</f>
        <v>0</v>
      </c>
      <c r="J401" s="253">
        <f t="shared" si="505"/>
        <v>0</v>
      </c>
      <c r="K401" s="253">
        <f t="shared" ref="K401" si="700">SUM(K402:K404)</f>
        <v>87000</v>
      </c>
      <c r="L401" s="253">
        <f t="shared" si="699"/>
        <v>87000</v>
      </c>
      <c r="M401" s="253">
        <f t="shared" si="508"/>
        <v>0</v>
      </c>
      <c r="N401" s="253">
        <f t="shared" ref="N401" si="701">SUM(N402:N404)</f>
        <v>0</v>
      </c>
      <c r="O401" s="253">
        <f t="shared" si="699"/>
        <v>0</v>
      </c>
      <c r="P401" s="253">
        <f t="shared" si="511"/>
        <v>0</v>
      </c>
      <c r="Q401" s="253">
        <f t="shared" ref="Q401" si="702">SUM(Q402:Q404)</f>
        <v>0</v>
      </c>
      <c r="R401" s="253">
        <f t="shared" si="699"/>
        <v>0</v>
      </c>
      <c r="S401" s="253">
        <f t="shared" si="514"/>
        <v>0</v>
      </c>
      <c r="T401" s="253">
        <f t="shared" ref="T401" si="703">SUM(T402:T404)</f>
        <v>0</v>
      </c>
      <c r="U401" s="253">
        <f t="shared" si="699"/>
        <v>0</v>
      </c>
      <c r="V401" s="253">
        <f t="shared" si="517"/>
        <v>0</v>
      </c>
      <c r="W401" s="253">
        <f t="shared" ref="W401" si="704">SUM(W402:W404)</f>
        <v>0</v>
      </c>
      <c r="X401" s="253">
        <f t="shared" si="699"/>
        <v>0</v>
      </c>
      <c r="Y401" s="253">
        <f t="shared" si="519"/>
        <v>0</v>
      </c>
      <c r="Z401" s="253">
        <f t="shared" ref="Z401" si="705">SUM(Z402:Z404)</f>
        <v>20940</v>
      </c>
      <c r="AA401" s="253">
        <f t="shared" si="699"/>
        <v>20940</v>
      </c>
      <c r="AB401" s="253">
        <f t="shared" si="522"/>
        <v>0</v>
      </c>
    </row>
    <row r="402" spans="1:189" s="254" customFormat="1" ht="78.75" x14ac:dyDescent="0.25">
      <c r="A402" s="267" t="s">
        <v>196</v>
      </c>
      <c r="B402" s="257">
        <f t="shared" si="536"/>
        <v>35940</v>
      </c>
      <c r="C402" s="257">
        <f t="shared" si="536"/>
        <v>35940</v>
      </c>
      <c r="D402" s="257">
        <f t="shared" si="536"/>
        <v>0</v>
      </c>
      <c r="E402" s="257"/>
      <c r="F402" s="257"/>
      <c r="G402" s="257">
        <f t="shared" si="572"/>
        <v>0</v>
      </c>
      <c r="H402" s="257"/>
      <c r="I402" s="257"/>
      <c r="J402" s="257">
        <f t="shared" si="505"/>
        <v>0</v>
      </c>
      <c r="K402" s="257">
        <v>15000</v>
      </c>
      <c r="L402" s="257">
        <v>15000</v>
      </c>
      <c r="M402" s="257">
        <f t="shared" si="508"/>
        <v>0</v>
      </c>
      <c r="N402" s="257"/>
      <c r="O402" s="257"/>
      <c r="P402" s="257">
        <f t="shared" si="511"/>
        <v>0</v>
      </c>
      <c r="Q402" s="257">
        <v>0</v>
      </c>
      <c r="R402" s="257">
        <v>0</v>
      </c>
      <c r="S402" s="257">
        <f t="shared" si="514"/>
        <v>0</v>
      </c>
      <c r="T402" s="257"/>
      <c r="U402" s="257"/>
      <c r="V402" s="257">
        <f t="shared" si="517"/>
        <v>0</v>
      </c>
      <c r="W402" s="257"/>
      <c r="X402" s="257"/>
      <c r="Y402" s="257">
        <f t="shared" si="519"/>
        <v>0</v>
      </c>
      <c r="Z402" s="257">
        <v>20940</v>
      </c>
      <c r="AA402" s="257">
        <v>20940</v>
      </c>
      <c r="AB402" s="257">
        <f t="shared" si="522"/>
        <v>0</v>
      </c>
    </row>
    <row r="403" spans="1:189" s="254" customFormat="1" ht="31.5" x14ac:dyDescent="0.25">
      <c r="A403" s="267" t="s">
        <v>197</v>
      </c>
      <c r="B403" s="257">
        <f t="shared" si="536"/>
        <v>36000</v>
      </c>
      <c r="C403" s="257">
        <f t="shared" si="536"/>
        <v>36000</v>
      </c>
      <c r="D403" s="257">
        <f t="shared" si="536"/>
        <v>0</v>
      </c>
      <c r="E403" s="257"/>
      <c r="F403" s="257"/>
      <c r="G403" s="257">
        <f t="shared" si="572"/>
        <v>0</v>
      </c>
      <c r="H403" s="257"/>
      <c r="I403" s="257"/>
      <c r="J403" s="257">
        <f t="shared" si="505"/>
        <v>0</v>
      </c>
      <c r="K403" s="257">
        <v>36000</v>
      </c>
      <c r="L403" s="257">
        <v>36000</v>
      </c>
      <c r="M403" s="257">
        <f t="shared" si="508"/>
        <v>0</v>
      </c>
      <c r="N403" s="257"/>
      <c r="O403" s="257"/>
      <c r="P403" s="257">
        <f t="shared" si="511"/>
        <v>0</v>
      </c>
      <c r="Q403" s="257">
        <v>0</v>
      </c>
      <c r="R403" s="257">
        <v>0</v>
      </c>
      <c r="S403" s="257">
        <f t="shared" si="514"/>
        <v>0</v>
      </c>
      <c r="T403" s="257"/>
      <c r="U403" s="257"/>
      <c r="V403" s="257">
        <f t="shared" si="517"/>
        <v>0</v>
      </c>
      <c r="W403" s="257"/>
      <c r="X403" s="257"/>
      <c r="Y403" s="257">
        <f t="shared" si="519"/>
        <v>0</v>
      </c>
      <c r="Z403" s="257"/>
      <c r="AA403" s="257"/>
      <c r="AB403" s="257">
        <f t="shared" si="522"/>
        <v>0</v>
      </c>
    </row>
    <row r="404" spans="1:189" s="254" customFormat="1" x14ac:dyDescent="0.25">
      <c r="A404" s="262" t="s">
        <v>198</v>
      </c>
      <c r="B404" s="260">
        <f t="shared" ref="B404:D417" si="706">E404+H404+K404+N404+Q404+T404+Z404+W404</f>
        <v>36000</v>
      </c>
      <c r="C404" s="260">
        <f t="shared" si="706"/>
        <v>36000</v>
      </c>
      <c r="D404" s="260">
        <f t="shared" si="706"/>
        <v>0</v>
      </c>
      <c r="E404" s="260"/>
      <c r="F404" s="260"/>
      <c r="G404" s="260">
        <f t="shared" si="572"/>
        <v>0</v>
      </c>
      <c r="H404" s="260"/>
      <c r="I404" s="260"/>
      <c r="J404" s="260">
        <f t="shared" si="505"/>
        <v>0</v>
      </c>
      <c r="K404" s="260">
        <v>36000</v>
      </c>
      <c r="L404" s="260">
        <v>36000</v>
      </c>
      <c r="M404" s="260">
        <f t="shared" si="508"/>
        <v>0</v>
      </c>
      <c r="N404" s="260"/>
      <c r="O404" s="260"/>
      <c r="P404" s="260">
        <f t="shared" si="511"/>
        <v>0</v>
      </c>
      <c r="Q404" s="260">
        <v>0</v>
      </c>
      <c r="R404" s="260">
        <v>0</v>
      </c>
      <c r="S404" s="260">
        <f t="shared" si="514"/>
        <v>0</v>
      </c>
      <c r="T404" s="260"/>
      <c r="U404" s="260"/>
      <c r="V404" s="260">
        <f t="shared" si="517"/>
        <v>0</v>
      </c>
      <c r="W404" s="260"/>
      <c r="X404" s="260"/>
      <c r="Y404" s="260">
        <f t="shared" si="519"/>
        <v>0</v>
      </c>
      <c r="Z404" s="260"/>
      <c r="AA404" s="260"/>
      <c r="AB404" s="260">
        <f t="shared" si="522"/>
        <v>0</v>
      </c>
    </row>
    <row r="405" spans="1:189" s="254" customFormat="1" x14ac:dyDescent="0.25">
      <c r="A405" s="252" t="s">
        <v>31</v>
      </c>
      <c r="B405" s="253">
        <f t="shared" si="706"/>
        <v>14331</v>
      </c>
      <c r="C405" s="253">
        <f t="shared" si="706"/>
        <v>14331</v>
      </c>
      <c r="D405" s="253">
        <f t="shared" si="706"/>
        <v>0</v>
      </c>
      <c r="E405" s="253">
        <f>SUM(E406)</f>
        <v>0</v>
      </c>
      <c r="F405" s="253">
        <f>SUM(F406)</f>
        <v>0</v>
      </c>
      <c r="G405" s="253">
        <f t="shared" si="572"/>
        <v>0</v>
      </c>
      <c r="H405" s="253">
        <f t="shared" ref="H405:I405" si="707">SUM(H406)</f>
        <v>0</v>
      </c>
      <c r="I405" s="253">
        <f t="shared" si="707"/>
        <v>0</v>
      </c>
      <c r="J405" s="253">
        <f t="shared" si="505"/>
        <v>0</v>
      </c>
      <c r="K405" s="253">
        <f t="shared" ref="K405:L405" si="708">SUM(K406)</f>
        <v>0</v>
      </c>
      <c r="L405" s="253">
        <f t="shared" si="708"/>
        <v>0</v>
      </c>
      <c r="M405" s="253">
        <f t="shared" si="508"/>
        <v>0</v>
      </c>
      <c r="N405" s="253">
        <f t="shared" ref="N405:O405" si="709">SUM(N406)</f>
        <v>0</v>
      </c>
      <c r="O405" s="253">
        <f t="shared" si="709"/>
        <v>0</v>
      </c>
      <c r="P405" s="253">
        <f t="shared" si="511"/>
        <v>0</v>
      </c>
      <c r="Q405" s="253">
        <f t="shared" ref="Q405:R405" si="710">SUM(Q406)</f>
        <v>12396</v>
      </c>
      <c r="R405" s="253">
        <f t="shared" si="710"/>
        <v>12396</v>
      </c>
      <c r="S405" s="253">
        <f t="shared" si="514"/>
        <v>0</v>
      </c>
      <c r="T405" s="253">
        <f t="shared" ref="T405:U405" si="711">SUM(T406)</f>
        <v>0</v>
      </c>
      <c r="U405" s="253">
        <f t="shared" si="711"/>
        <v>0</v>
      </c>
      <c r="V405" s="253">
        <f t="shared" si="517"/>
        <v>0</v>
      </c>
      <c r="W405" s="253">
        <f t="shared" ref="W405:X405" si="712">SUM(W406)</f>
        <v>1935</v>
      </c>
      <c r="X405" s="253">
        <f t="shared" si="712"/>
        <v>1935</v>
      </c>
      <c r="Y405" s="253">
        <f t="shared" si="519"/>
        <v>0</v>
      </c>
      <c r="Z405" s="253">
        <f t="shared" ref="Z405:AA405" si="713">SUM(Z406)</f>
        <v>0</v>
      </c>
      <c r="AA405" s="253">
        <f t="shared" si="713"/>
        <v>0</v>
      </c>
      <c r="AB405" s="253">
        <f t="shared" si="522"/>
        <v>0</v>
      </c>
    </row>
    <row r="406" spans="1:189" s="254" customFormat="1" ht="31.5" x14ac:dyDescent="0.25">
      <c r="A406" s="252" t="s">
        <v>195</v>
      </c>
      <c r="B406" s="253">
        <f t="shared" si="706"/>
        <v>14331</v>
      </c>
      <c r="C406" s="253">
        <f t="shared" si="706"/>
        <v>14331</v>
      </c>
      <c r="D406" s="253">
        <f t="shared" si="706"/>
        <v>0</v>
      </c>
      <c r="E406" s="253">
        <f>SUM(E407:E410)</f>
        <v>0</v>
      </c>
      <c r="F406" s="253">
        <f>SUM(F407:F410)</f>
        <v>0</v>
      </c>
      <c r="G406" s="253">
        <f t="shared" si="572"/>
        <v>0</v>
      </c>
      <c r="H406" s="253">
        <f t="shared" ref="H406" si="714">SUM(H407:H410)</f>
        <v>0</v>
      </c>
      <c r="I406" s="253">
        <f t="shared" ref="I406" si="715">SUM(I407:I410)</f>
        <v>0</v>
      </c>
      <c r="J406" s="253">
        <f t="shared" ref="J406:J421" si="716">I406-H406</f>
        <v>0</v>
      </c>
      <c r="K406" s="253">
        <f t="shared" ref="K406" si="717">SUM(K407:K410)</f>
        <v>0</v>
      </c>
      <c r="L406" s="253">
        <f t="shared" ref="L406" si="718">SUM(L407:L410)</f>
        <v>0</v>
      </c>
      <c r="M406" s="253">
        <f t="shared" ref="M406:M421" si="719">L406-K406</f>
        <v>0</v>
      </c>
      <c r="N406" s="253">
        <f t="shared" ref="N406" si="720">SUM(N407:N410)</f>
        <v>0</v>
      </c>
      <c r="O406" s="253">
        <f t="shared" ref="O406" si="721">SUM(O407:O410)</f>
        <v>0</v>
      </c>
      <c r="P406" s="253">
        <f t="shared" ref="P406:P421" si="722">O406-N406</f>
        <v>0</v>
      </c>
      <c r="Q406" s="253">
        <f t="shared" ref="Q406" si="723">SUM(Q407:Q410)</f>
        <v>12396</v>
      </c>
      <c r="R406" s="253">
        <f t="shared" ref="R406" si="724">SUM(R407:R410)</f>
        <v>12396</v>
      </c>
      <c r="S406" s="253">
        <f t="shared" ref="S406:S421" si="725">R406-Q406</f>
        <v>0</v>
      </c>
      <c r="T406" s="253">
        <f t="shared" ref="T406" si="726">SUM(T407:T410)</f>
        <v>0</v>
      </c>
      <c r="U406" s="253">
        <f t="shared" ref="U406" si="727">SUM(U407:U410)</f>
        <v>0</v>
      </c>
      <c r="V406" s="253">
        <f t="shared" ref="V406:V421" si="728">U406-T406</f>
        <v>0</v>
      </c>
      <c r="W406" s="253">
        <f t="shared" ref="W406:X406" si="729">SUM(W407:W410)</f>
        <v>1935</v>
      </c>
      <c r="X406" s="253">
        <f t="shared" si="729"/>
        <v>1935</v>
      </c>
      <c r="Y406" s="253">
        <f t="shared" ref="Y406:Y421" si="730">X406-W406</f>
        <v>0</v>
      </c>
      <c r="Z406" s="253">
        <f t="shared" ref="Z406" si="731">SUM(Z407:Z410)</f>
        <v>0</v>
      </c>
      <c r="AA406" s="253">
        <f t="shared" ref="AA406" si="732">SUM(AA407:AA410)</f>
        <v>0</v>
      </c>
      <c r="AB406" s="253">
        <f t="shared" ref="AB406:AB421" si="733">AA406-Z406</f>
        <v>0</v>
      </c>
    </row>
    <row r="407" spans="1:189" s="254" customFormat="1" ht="47.25" x14ac:dyDescent="0.25">
      <c r="A407" s="259" t="s">
        <v>248</v>
      </c>
      <c r="B407" s="260">
        <f t="shared" si="706"/>
        <v>1940</v>
      </c>
      <c r="C407" s="260">
        <f t="shared" si="706"/>
        <v>1940</v>
      </c>
      <c r="D407" s="260">
        <f t="shared" si="706"/>
        <v>0</v>
      </c>
      <c r="E407" s="260"/>
      <c r="F407" s="260"/>
      <c r="G407" s="260">
        <f t="shared" si="572"/>
        <v>0</v>
      </c>
      <c r="H407" s="260"/>
      <c r="I407" s="260"/>
      <c r="J407" s="260">
        <f t="shared" si="716"/>
        <v>0</v>
      </c>
      <c r="K407" s="260"/>
      <c r="L407" s="260"/>
      <c r="M407" s="260">
        <f t="shared" si="719"/>
        <v>0</v>
      </c>
      <c r="N407" s="260"/>
      <c r="O407" s="260"/>
      <c r="P407" s="260">
        <f t="shared" si="722"/>
        <v>0</v>
      </c>
      <c r="Q407" s="260">
        <v>1940</v>
      </c>
      <c r="R407" s="260">
        <v>1940</v>
      </c>
      <c r="S407" s="260">
        <f t="shared" si="725"/>
        <v>0</v>
      </c>
      <c r="T407" s="260"/>
      <c r="U407" s="260"/>
      <c r="V407" s="260">
        <f t="shared" si="728"/>
        <v>0</v>
      </c>
      <c r="W407" s="260"/>
      <c r="X407" s="260"/>
      <c r="Y407" s="260">
        <f t="shared" si="730"/>
        <v>0</v>
      </c>
      <c r="Z407" s="260"/>
      <c r="AA407" s="260"/>
      <c r="AB407" s="260">
        <f t="shared" si="733"/>
        <v>0</v>
      </c>
    </row>
    <row r="408" spans="1:189" s="254" customFormat="1" x14ac:dyDescent="0.25">
      <c r="A408" s="259" t="s">
        <v>404</v>
      </c>
      <c r="B408" s="260">
        <f t="shared" si="706"/>
        <v>396</v>
      </c>
      <c r="C408" s="260">
        <f t="shared" si="706"/>
        <v>396</v>
      </c>
      <c r="D408" s="260">
        <f t="shared" si="706"/>
        <v>0</v>
      </c>
      <c r="E408" s="260"/>
      <c r="F408" s="260"/>
      <c r="G408" s="260">
        <f t="shared" si="572"/>
        <v>0</v>
      </c>
      <c r="H408" s="260"/>
      <c r="I408" s="260"/>
      <c r="J408" s="260">
        <f t="shared" si="716"/>
        <v>0</v>
      </c>
      <c r="K408" s="260"/>
      <c r="L408" s="260"/>
      <c r="M408" s="260">
        <f t="shared" si="719"/>
        <v>0</v>
      </c>
      <c r="N408" s="260"/>
      <c r="O408" s="260"/>
      <c r="P408" s="260">
        <f t="shared" si="722"/>
        <v>0</v>
      </c>
      <c r="Q408" s="260">
        <v>396</v>
      </c>
      <c r="R408" s="260">
        <v>396</v>
      </c>
      <c r="S408" s="260">
        <f t="shared" si="725"/>
        <v>0</v>
      </c>
      <c r="T408" s="260"/>
      <c r="U408" s="260"/>
      <c r="V408" s="260">
        <f t="shared" si="728"/>
        <v>0</v>
      </c>
      <c r="W408" s="260"/>
      <c r="X408" s="260"/>
      <c r="Y408" s="260">
        <f t="shared" si="730"/>
        <v>0</v>
      </c>
      <c r="Z408" s="260"/>
      <c r="AA408" s="260"/>
      <c r="AB408" s="260">
        <f t="shared" si="733"/>
        <v>0</v>
      </c>
    </row>
    <row r="409" spans="1:189" s="254" customFormat="1" ht="31.5" x14ac:dyDescent="0.25">
      <c r="A409" s="259" t="s">
        <v>496</v>
      </c>
      <c r="B409" s="260">
        <f t="shared" si="706"/>
        <v>1935</v>
      </c>
      <c r="C409" s="260">
        <f t="shared" si="706"/>
        <v>1935</v>
      </c>
      <c r="D409" s="260">
        <f t="shared" si="706"/>
        <v>0</v>
      </c>
      <c r="E409" s="260"/>
      <c r="F409" s="260"/>
      <c r="G409" s="260">
        <f t="shared" si="572"/>
        <v>0</v>
      </c>
      <c r="H409" s="260"/>
      <c r="I409" s="260"/>
      <c r="J409" s="260">
        <f t="shared" si="716"/>
        <v>0</v>
      </c>
      <c r="K409" s="260"/>
      <c r="L409" s="260"/>
      <c r="M409" s="260">
        <f t="shared" si="719"/>
        <v>0</v>
      </c>
      <c r="N409" s="260"/>
      <c r="O409" s="260"/>
      <c r="P409" s="260">
        <f t="shared" si="722"/>
        <v>0</v>
      </c>
      <c r="Q409" s="260"/>
      <c r="R409" s="260"/>
      <c r="S409" s="260">
        <f t="shared" si="725"/>
        <v>0</v>
      </c>
      <c r="T409" s="260"/>
      <c r="U409" s="260"/>
      <c r="V409" s="260">
        <f t="shared" si="728"/>
        <v>0</v>
      </c>
      <c r="W409" s="260">
        <v>1935</v>
      </c>
      <c r="X409" s="260">
        <v>1935</v>
      </c>
      <c r="Y409" s="260">
        <f t="shared" si="730"/>
        <v>0</v>
      </c>
      <c r="Z409" s="260"/>
      <c r="AA409" s="260"/>
      <c r="AB409" s="260">
        <f t="shared" si="733"/>
        <v>0</v>
      </c>
    </row>
    <row r="410" spans="1:189" s="254" customFormat="1" ht="47.25" x14ac:dyDescent="0.25">
      <c r="A410" s="259" t="s">
        <v>249</v>
      </c>
      <c r="B410" s="260">
        <f t="shared" si="706"/>
        <v>10060</v>
      </c>
      <c r="C410" s="260">
        <f t="shared" si="706"/>
        <v>10060</v>
      </c>
      <c r="D410" s="260">
        <f t="shared" si="706"/>
        <v>0</v>
      </c>
      <c r="E410" s="260"/>
      <c r="F410" s="260"/>
      <c r="G410" s="260">
        <f t="shared" si="572"/>
        <v>0</v>
      </c>
      <c r="H410" s="260"/>
      <c r="I410" s="260"/>
      <c r="J410" s="260">
        <f t="shared" si="716"/>
        <v>0</v>
      </c>
      <c r="K410" s="260"/>
      <c r="L410" s="260"/>
      <c r="M410" s="260">
        <f t="shared" si="719"/>
        <v>0</v>
      </c>
      <c r="N410" s="260"/>
      <c r="O410" s="260"/>
      <c r="P410" s="260">
        <f t="shared" si="722"/>
        <v>0</v>
      </c>
      <c r="Q410" s="260">
        <v>10060</v>
      </c>
      <c r="R410" s="260">
        <v>10060</v>
      </c>
      <c r="S410" s="260">
        <f t="shared" si="725"/>
        <v>0</v>
      </c>
      <c r="T410" s="260"/>
      <c r="U410" s="260"/>
      <c r="V410" s="260">
        <f t="shared" si="728"/>
        <v>0</v>
      </c>
      <c r="W410" s="260"/>
      <c r="X410" s="260"/>
      <c r="Y410" s="260">
        <f t="shared" si="730"/>
        <v>0</v>
      </c>
      <c r="Z410" s="260"/>
      <c r="AA410" s="260"/>
      <c r="AB410" s="260">
        <f t="shared" si="733"/>
        <v>0</v>
      </c>
    </row>
    <row r="411" spans="1:189" s="254" customFormat="1" ht="31.5" x14ac:dyDescent="0.25">
      <c r="A411" s="252" t="s">
        <v>85</v>
      </c>
      <c r="B411" s="253">
        <f t="shared" si="706"/>
        <v>9426</v>
      </c>
      <c r="C411" s="253">
        <f t="shared" si="706"/>
        <v>10984</v>
      </c>
      <c r="D411" s="253">
        <f t="shared" si="706"/>
        <v>1558</v>
      </c>
      <c r="E411" s="253">
        <f>SUM(E412)</f>
        <v>0</v>
      </c>
      <c r="F411" s="253">
        <f>SUM(F412)</f>
        <v>0</v>
      </c>
      <c r="G411" s="253">
        <f t="shared" si="572"/>
        <v>0</v>
      </c>
      <c r="H411" s="253">
        <f t="shared" ref="H411:I411" si="734">SUM(H412)</f>
        <v>0</v>
      </c>
      <c r="I411" s="253">
        <f t="shared" si="734"/>
        <v>0</v>
      </c>
      <c r="J411" s="253">
        <f t="shared" si="716"/>
        <v>0</v>
      </c>
      <c r="K411" s="253">
        <f t="shared" ref="K411:L411" si="735">SUM(K412)</f>
        <v>9426</v>
      </c>
      <c r="L411" s="253">
        <f t="shared" si="735"/>
        <v>10984</v>
      </c>
      <c r="M411" s="253">
        <f t="shared" si="719"/>
        <v>1558</v>
      </c>
      <c r="N411" s="253">
        <f t="shared" ref="N411:O411" si="736">SUM(N412)</f>
        <v>0</v>
      </c>
      <c r="O411" s="253">
        <f t="shared" si="736"/>
        <v>0</v>
      </c>
      <c r="P411" s="253">
        <f t="shared" si="722"/>
        <v>0</v>
      </c>
      <c r="Q411" s="253">
        <f t="shared" ref="Q411:R411" si="737">SUM(Q412)</f>
        <v>0</v>
      </c>
      <c r="R411" s="253">
        <f t="shared" si="737"/>
        <v>0</v>
      </c>
      <c r="S411" s="253">
        <f t="shared" si="725"/>
        <v>0</v>
      </c>
      <c r="T411" s="253">
        <f t="shared" ref="T411:U411" si="738">SUM(T412)</f>
        <v>0</v>
      </c>
      <c r="U411" s="253">
        <f t="shared" si="738"/>
        <v>0</v>
      </c>
      <c r="V411" s="253">
        <f t="shared" si="728"/>
        <v>0</v>
      </c>
      <c r="W411" s="253">
        <f t="shared" ref="W411:X411" si="739">SUM(W412)</f>
        <v>0</v>
      </c>
      <c r="X411" s="253">
        <f t="shared" si="739"/>
        <v>0</v>
      </c>
      <c r="Y411" s="253">
        <f t="shared" si="730"/>
        <v>0</v>
      </c>
      <c r="Z411" s="253">
        <f t="shared" ref="Z411:AA411" si="740">SUM(Z412)</f>
        <v>0</v>
      </c>
      <c r="AA411" s="253">
        <f t="shared" si="740"/>
        <v>0</v>
      </c>
      <c r="AB411" s="253">
        <f t="shared" si="733"/>
        <v>0</v>
      </c>
      <c r="AC411" s="251"/>
      <c r="AD411" s="251"/>
      <c r="AE411" s="251"/>
      <c r="AF411" s="251"/>
      <c r="AG411" s="251"/>
      <c r="AH411" s="251"/>
      <c r="AI411" s="251"/>
      <c r="AJ411" s="251"/>
      <c r="AK411" s="251"/>
      <c r="AL411" s="251"/>
      <c r="AM411" s="251"/>
      <c r="AN411" s="251"/>
      <c r="AO411" s="251"/>
      <c r="AP411" s="251"/>
      <c r="AQ411" s="251"/>
      <c r="AR411" s="251"/>
      <c r="AS411" s="251"/>
      <c r="AT411" s="251"/>
      <c r="AU411" s="251"/>
      <c r="AV411" s="251"/>
      <c r="AW411" s="251"/>
      <c r="AX411" s="251"/>
      <c r="AY411" s="251"/>
      <c r="AZ411" s="251"/>
      <c r="BA411" s="251"/>
      <c r="BB411" s="251"/>
      <c r="BC411" s="251"/>
      <c r="BD411" s="251"/>
      <c r="BE411" s="251"/>
      <c r="BF411" s="251"/>
      <c r="BG411" s="251"/>
      <c r="BH411" s="251"/>
      <c r="BI411" s="251"/>
      <c r="BJ411" s="251"/>
      <c r="BK411" s="251"/>
      <c r="BL411" s="251"/>
      <c r="BM411" s="251"/>
      <c r="BN411" s="251"/>
      <c r="BO411" s="251"/>
      <c r="BP411" s="251"/>
      <c r="BQ411" s="251"/>
      <c r="BR411" s="251"/>
      <c r="BS411" s="251"/>
      <c r="BT411" s="251"/>
      <c r="BU411" s="251"/>
      <c r="BV411" s="251"/>
      <c r="BW411" s="251"/>
      <c r="BX411" s="251"/>
      <c r="BY411" s="251"/>
      <c r="BZ411" s="251"/>
      <c r="CA411" s="251"/>
      <c r="CB411" s="251"/>
      <c r="CC411" s="251"/>
      <c r="CD411" s="251"/>
      <c r="CE411" s="251"/>
      <c r="CF411" s="251"/>
      <c r="CG411" s="251"/>
      <c r="CH411" s="251"/>
      <c r="CI411" s="251"/>
      <c r="CJ411" s="251"/>
      <c r="CK411" s="251"/>
      <c r="CL411" s="251"/>
      <c r="CM411" s="251"/>
      <c r="CN411" s="251"/>
      <c r="CO411" s="251"/>
      <c r="CP411" s="251"/>
      <c r="CQ411" s="251"/>
      <c r="CR411" s="251"/>
      <c r="CS411" s="251"/>
      <c r="CT411" s="251"/>
      <c r="CU411" s="251"/>
      <c r="CV411" s="251"/>
      <c r="CW411" s="251"/>
      <c r="CX411" s="251"/>
      <c r="CY411" s="251"/>
      <c r="CZ411" s="251"/>
      <c r="DA411" s="251"/>
      <c r="DB411" s="251"/>
      <c r="DC411" s="251"/>
      <c r="DD411" s="251"/>
      <c r="DE411" s="251"/>
      <c r="DF411" s="251"/>
      <c r="DG411" s="251"/>
      <c r="DH411" s="251"/>
      <c r="DI411" s="251"/>
      <c r="DJ411" s="251"/>
      <c r="DK411" s="251"/>
      <c r="DL411" s="251"/>
      <c r="DM411" s="251"/>
      <c r="DN411" s="251"/>
      <c r="DO411" s="251"/>
      <c r="DP411" s="251"/>
      <c r="DQ411" s="251"/>
      <c r="DR411" s="251"/>
      <c r="DS411" s="251"/>
      <c r="DT411" s="251"/>
      <c r="DU411" s="251"/>
      <c r="DV411" s="251"/>
      <c r="DW411" s="251"/>
      <c r="DX411" s="251"/>
      <c r="DY411" s="251"/>
      <c r="DZ411" s="251"/>
      <c r="EA411" s="251"/>
      <c r="EB411" s="251"/>
      <c r="EC411" s="251"/>
      <c r="ED411" s="251"/>
      <c r="EE411" s="251"/>
      <c r="EF411" s="251"/>
      <c r="EG411" s="251"/>
      <c r="EH411" s="251"/>
      <c r="EI411" s="251"/>
      <c r="EJ411" s="251"/>
      <c r="EK411" s="251"/>
      <c r="EL411" s="251"/>
      <c r="EM411" s="251"/>
      <c r="EN411" s="251"/>
      <c r="EO411" s="251"/>
      <c r="EP411" s="251"/>
      <c r="EQ411" s="251"/>
      <c r="ER411" s="251"/>
      <c r="ES411" s="251"/>
      <c r="ET411" s="251"/>
      <c r="EU411" s="251"/>
      <c r="EV411" s="251"/>
      <c r="EW411" s="251"/>
      <c r="EX411" s="251"/>
      <c r="EY411" s="251"/>
      <c r="EZ411" s="251"/>
      <c r="FA411" s="251"/>
      <c r="FB411" s="251"/>
      <c r="FC411" s="251"/>
      <c r="FD411" s="251"/>
      <c r="FE411" s="251"/>
      <c r="FF411" s="251"/>
      <c r="FG411" s="251"/>
      <c r="FH411" s="251"/>
      <c r="FI411" s="251"/>
      <c r="FJ411" s="251"/>
      <c r="FK411" s="251"/>
      <c r="FL411" s="251"/>
      <c r="FM411" s="251"/>
      <c r="FN411" s="251"/>
      <c r="FO411" s="251"/>
      <c r="FP411" s="251"/>
      <c r="FQ411" s="251"/>
      <c r="FR411" s="251"/>
      <c r="FS411" s="251"/>
      <c r="FT411" s="251"/>
      <c r="FU411" s="251"/>
      <c r="FV411" s="251"/>
      <c r="FW411" s="251"/>
      <c r="FX411" s="251"/>
      <c r="FY411" s="251"/>
      <c r="FZ411" s="251"/>
      <c r="GA411" s="251"/>
      <c r="GB411" s="251"/>
      <c r="GC411" s="251"/>
      <c r="GD411" s="251"/>
      <c r="GE411" s="251"/>
      <c r="GF411" s="251"/>
      <c r="GG411" s="251"/>
    </row>
    <row r="412" spans="1:189" s="254" customFormat="1" ht="31.5" x14ac:dyDescent="0.25">
      <c r="A412" s="252" t="s">
        <v>195</v>
      </c>
      <c r="B412" s="253">
        <f>E412+H412+K412+N412+Q412+T412+Z412+W412</f>
        <v>9426</v>
      </c>
      <c r="C412" s="253">
        <f t="shared" si="706"/>
        <v>10984</v>
      </c>
      <c r="D412" s="253">
        <f t="shared" si="706"/>
        <v>1558</v>
      </c>
      <c r="E412" s="253">
        <f>SUM(E413:E414)</f>
        <v>0</v>
      </c>
      <c r="F412" s="253">
        <f>SUM(F413:F414)</f>
        <v>0</v>
      </c>
      <c r="G412" s="253">
        <f>F412-E412</f>
        <v>0</v>
      </c>
      <c r="H412" s="253">
        <f>SUM(H413:H414)</f>
        <v>0</v>
      </c>
      <c r="I412" s="253">
        <f>SUM(I413:I414)</f>
        <v>0</v>
      </c>
      <c r="J412" s="253">
        <f t="shared" si="716"/>
        <v>0</v>
      </c>
      <c r="K412" s="253">
        <f>SUM(K413:K414)</f>
        <v>9426</v>
      </c>
      <c r="L412" s="253">
        <f>SUM(L413:L414)</f>
        <v>10984</v>
      </c>
      <c r="M412" s="253">
        <f t="shared" si="719"/>
        <v>1558</v>
      </c>
      <c r="N412" s="253">
        <f>SUM(N413:N414)</f>
        <v>0</v>
      </c>
      <c r="O412" s="253">
        <f>SUM(O413:O414)</f>
        <v>0</v>
      </c>
      <c r="P412" s="253">
        <f t="shared" si="722"/>
        <v>0</v>
      </c>
      <c r="Q412" s="253">
        <f>SUM(Q413:Q414)</f>
        <v>0</v>
      </c>
      <c r="R412" s="253">
        <f>SUM(R413:R414)</f>
        <v>0</v>
      </c>
      <c r="S412" s="253">
        <f t="shared" si="725"/>
        <v>0</v>
      </c>
      <c r="T412" s="253">
        <f>SUM(T413:T414)</f>
        <v>0</v>
      </c>
      <c r="U412" s="253">
        <f>SUM(U413:U414)</f>
        <v>0</v>
      </c>
      <c r="V412" s="253">
        <f t="shared" si="728"/>
        <v>0</v>
      </c>
      <c r="W412" s="253">
        <f>SUM(W413:W414)</f>
        <v>0</v>
      </c>
      <c r="X412" s="253">
        <f>SUM(X413:X414)</f>
        <v>0</v>
      </c>
      <c r="Y412" s="253">
        <f t="shared" si="730"/>
        <v>0</v>
      </c>
      <c r="Z412" s="253">
        <f>SUM(Z413:Z414)</f>
        <v>0</v>
      </c>
      <c r="AA412" s="253">
        <f>SUM(AA413:AA414)</f>
        <v>0</v>
      </c>
      <c r="AB412" s="253">
        <f>AA412-Z412</f>
        <v>0</v>
      </c>
    </row>
    <row r="413" spans="1:189" s="254" customFormat="1" ht="31.5" x14ac:dyDescent="0.25">
      <c r="A413" s="256" t="s">
        <v>422</v>
      </c>
      <c r="B413" s="260">
        <f>E413+H413+K413+N413+Q413+T413+Z413+W413</f>
        <v>9426</v>
      </c>
      <c r="C413" s="260">
        <f t="shared" ref="C413" si="741">F413+I413+L413+O413+R413+U413+AA413+X413</f>
        <v>9426</v>
      </c>
      <c r="D413" s="260">
        <f t="shared" ref="D413" si="742">G413+J413+M413+P413+S413+V413+AB413+Y413</f>
        <v>0</v>
      </c>
      <c r="E413" s="260"/>
      <c r="F413" s="260"/>
      <c r="G413" s="260">
        <f t="shared" ref="G413" si="743">F413-E413</f>
        <v>0</v>
      </c>
      <c r="H413" s="260"/>
      <c r="I413" s="260"/>
      <c r="J413" s="260">
        <f t="shared" ref="J413" si="744">I413-H413</f>
        <v>0</v>
      </c>
      <c r="K413" s="260">
        <v>9426</v>
      </c>
      <c r="L413" s="260">
        <v>9426</v>
      </c>
      <c r="M413" s="260">
        <f t="shared" ref="M413" si="745">L413-K413</f>
        <v>0</v>
      </c>
      <c r="N413" s="260"/>
      <c r="O413" s="260"/>
      <c r="P413" s="260">
        <f t="shared" ref="P413" si="746">O413-N413</f>
        <v>0</v>
      </c>
      <c r="Q413" s="260"/>
      <c r="R413" s="260"/>
      <c r="S413" s="260">
        <f t="shared" ref="S413" si="747">R413-Q413</f>
        <v>0</v>
      </c>
      <c r="T413" s="260"/>
      <c r="U413" s="260"/>
      <c r="V413" s="260">
        <f t="shared" ref="V413" si="748">U413-T413</f>
        <v>0</v>
      </c>
      <c r="W413" s="260"/>
      <c r="X413" s="260"/>
      <c r="Y413" s="260">
        <f t="shared" ref="Y413" si="749">X413-W413</f>
        <v>0</v>
      </c>
      <c r="Z413" s="260"/>
      <c r="AA413" s="260"/>
      <c r="AB413" s="260">
        <f t="shared" ref="AB413" si="750">AA413-Z413</f>
        <v>0</v>
      </c>
    </row>
    <row r="414" spans="1:189" s="254" customFormat="1" x14ac:dyDescent="0.25">
      <c r="A414" s="256" t="s">
        <v>559</v>
      </c>
      <c r="B414" s="260">
        <f t="shared" si="706"/>
        <v>0</v>
      </c>
      <c r="C414" s="260">
        <f t="shared" si="706"/>
        <v>1558</v>
      </c>
      <c r="D414" s="260">
        <f t="shared" si="706"/>
        <v>1558</v>
      </c>
      <c r="E414" s="260"/>
      <c r="F414" s="260"/>
      <c r="G414" s="260">
        <f t="shared" si="572"/>
        <v>0</v>
      </c>
      <c r="H414" s="260"/>
      <c r="I414" s="260"/>
      <c r="J414" s="260">
        <f t="shared" si="716"/>
        <v>0</v>
      </c>
      <c r="K414" s="260">
        <v>0</v>
      </c>
      <c r="L414" s="260">
        <v>1558</v>
      </c>
      <c r="M414" s="260">
        <f t="shared" si="719"/>
        <v>1558</v>
      </c>
      <c r="N414" s="260"/>
      <c r="O414" s="260"/>
      <c r="P414" s="260">
        <f t="shared" si="722"/>
        <v>0</v>
      </c>
      <c r="Q414" s="260"/>
      <c r="R414" s="260"/>
      <c r="S414" s="260">
        <f t="shared" si="725"/>
        <v>0</v>
      </c>
      <c r="T414" s="260"/>
      <c r="U414" s="260"/>
      <c r="V414" s="260">
        <f t="shared" si="728"/>
        <v>0</v>
      </c>
      <c r="W414" s="260"/>
      <c r="X414" s="260"/>
      <c r="Y414" s="260">
        <f t="shared" si="730"/>
        <v>0</v>
      </c>
      <c r="Z414" s="260"/>
      <c r="AA414" s="260"/>
      <c r="AB414" s="260">
        <f t="shared" si="733"/>
        <v>0</v>
      </c>
    </row>
    <row r="415" spans="1:189" s="254" customFormat="1" x14ac:dyDescent="0.25">
      <c r="A415" s="270" t="s">
        <v>199</v>
      </c>
      <c r="B415" s="253">
        <f t="shared" si="706"/>
        <v>67953</v>
      </c>
      <c r="C415" s="253">
        <f t="shared" si="706"/>
        <v>67953</v>
      </c>
      <c r="D415" s="253">
        <f t="shared" si="706"/>
        <v>0</v>
      </c>
      <c r="E415" s="253">
        <f t="shared" ref="E415:AA415" si="751">SUM(E416)</f>
        <v>0</v>
      </c>
      <c r="F415" s="253">
        <f t="shared" si="751"/>
        <v>0</v>
      </c>
      <c r="G415" s="253">
        <f t="shared" si="572"/>
        <v>0</v>
      </c>
      <c r="H415" s="253">
        <f t="shared" si="751"/>
        <v>0</v>
      </c>
      <c r="I415" s="253">
        <f t="shared" si="751"/>
        <v>0</v>
      </c>
      <c r="J415" s="253">
        <f t="shared" si="716"/>
        <v>0</v>
      </c>
      <c r="K415" s="253">
        <f t="shared" si="751"/>
        <v>67953</v>
      </c>
      <c r="L415" s="253">
        <f t="shared" si="751"/>
        <v>67953</v>
      </c>
      <c r="M415" s="253">
        <f t="shared" si="719"/>
        <v>0</v>
      </c>
      <c r="N415" s="253">
        <f t="shared" si="751"/>
        <v>0</v>
      </c>
      <c r="O415" s="253">
        <f t="shared" si="751"/>
        <v>0</v>
      </c>
      <c r="P415" s="253">
        <f t="shared" si="722"/>
        <v>0</v>
      </c>
      <c r="Q415" s="253">
        <f t="shared" si="751"/>
        <v>0</v>
      </c>
      <c r="R415" s="253">
        <f t="shared" si="751"/>
        <v>0</v>
      </c>
      <c r="S415" s="253">
        <f t="shared" si="725"/>
        <v>0</v>
      </c>
      <c r="T415" s="253">
        <f t="shared" si="751"/>
        <v>0</v>
      </c>
      <c r="U415" s="253">
        <f t="shared" si="751"/>
        <v>0</v>
      </c>
      <c r="V415" s="253">
        <f t="shared" si="728"/>
        <v>0</v>
      </c>
      <c r="W415" s="253">
        <f t="shared" si="751"/>
        <v>0</v>
      </c>
      <c r="X415" s="253">
        <f t="shared" si="751"/>
        <v>0</v>
      </c>
      <c r="Y415" s="253">
        <f t="shared" si="730"/>
        <v>0</v>
      </c>
      <c r="Z415" s="253">
        <f t="shared" si="751"/>
        <v>0</v>
      </c>
      <c r="AA415" s="253">
        <f t="shared" si="751"/>
        <v>0</v>
      </c>
      <c r="AB415" s="253">
        <f t="shared" si="733"/>
        <v>0</v>
      </c>
    </row>
    <row r="416" spans="1:189" s="254" customFormat="1" ht="31.5" x14ac:dyDescent="0.25">
      <c r="A416" s="252" t="s">
        <v>42</v>
      </c>
      <c r="B416" s="253">
        <f t="shared" si="706"/>
        <v>67953</v>
      </c>
      <c r="C416" s="253">
        <f t="shared" si="706"/>
        <v>67953</v>
      </c>
      <c r="D416" s="253">
        <f t="shared" si="706"/>
        <v>0</v>
      </c>
      <c r="E416" s="253">
        <f t="shared" ref="E416:AA416" si="752">SUM(E417:E417)</f>
        <v>0</v>
      </c>
      <c r="F416" s="253">
        <f t="shared" si="752"/>
        <v>0</v>
      </c>
      <c r="G416" s="253">
        <f t="shared" si="572"/>
        <v>0</v>
      </c>
      <c r="H416" s="253">
        <f t="shared" si="752"/>
        <v>0</v>
      </c>
      <c r="I416" s="253">
        <f t="shared" si="752"/>
        <v>0</v>
      </c>
      <c r="J416" s="253">
        <f t="shared" si="716"/>
        <v>0</v>
      </c>
      <c r="K416" s="253">
        <f t="shared" si="752"/>
        <v>67953</v>
      </c>
      <c r="L416" s="253">
        <f t="shared" si="752"/>
        <v>67953</v>
      </c>
      <c r="M416" s="253">
        <f t="shared" si="719"/>
        <v>0</v>
      </c>
      <c r="N416" s="253">
        <f t="shared" si="752"/>
        <v>0</v>
      </c>
      <c r="O416" s="253">
        <f t="shared" si="752"/>
        <v>0</v>
      </c>
      <c r="P416" s="253">
        <f t="shared" si="722"/>
        <v>0</v>
      </c>
      <c r="Q416" s="253">
        <f t="shared" si="752"/>
        <v>0</v>
      </c>
      <c r="R416" s="253">
        <f t="shared" si="752"/>
        <v>0</v>
      </c>
      <c r="S416" s="253">
        <f t="shared" si="725"/>
        <v>0</v>
      </c>
      <c r="T416" s="253">
        <f t="shared" si="752"/>
        <v>0</v>
      </c>
      <c r="U416" s="253">
        <f t="shared" si="752"/>
        <v>0</v>
      </c>
      <c r="V416" s="253">
        <f t="shared" si="728"/>
        <v>0</v>
      </c>
      <c r="W416" s="253">
        <f t="shared" si="752"/>
        <v>0</v>
      </c>
      <c r="X416" s="253">
        <f t="shared" si="752"/>
        <v>0</v>
      </c>
      <c r="Y416" s="253">
        <f t="shared" si="730"/>
        <v>0</v>
      </c>
      <c r="Z416" s="253">
        <f t="shared" si="752"/>
        <v>0</v>
      </c>
      <c r="AA416" s="253">
        <f t="shared" si="752"/>
        <v>0</v>
      </c>
      <c r="AB416" s="253">
        <f t="shared" si="733"/>
        <v>0</v>
      </c>
    </row>
    <row r="417" spans="1:194" s="254" customFormat="1" ht="47.25" x14ac:dyDescent="0.25">
      <c r="A417" s="264" t="s">
        <v>200</v>
      </c>
      <c r="B417" s="260">
        <f t="shared" si="706"/>
        <v>67953</v>
      </c>
      <c r="C417" s="260">
        <f t="shared" si="706"/>
        <v>67953</v>
      </c>
      <c r="D417" s="260">
        <f t="shared" si="706"/>
        <v>0</v>
      </c>
      <c r="E417" s="260"/>
      <c r="F417" s="260"/>
      <c r="G417" s="260">
        <f t="shared" si="572"/>
        <v>0</v>
      </c>
      <c r="H417" s="260"/>
      <c r="I417" s="260"/>
      <c r="J417" s="260">
        <f t="shared" si="716"/>
        <v>0</v>
      </c>
      <c r="K417" s="260">
        <f>58500+9453</f>
        <v>67953</v>
      </c>
      <c r="L417" s="260">
        <f>58500+9453</f>
        <v>67953</v>
      </c>
      <c r="M417" s="260">
        <f t="shared" si="719"/>
        <v>0</v>
      </c>
      <c r="N417" s="260"/>
      <c r="O417" s="260"/>
      <c r="P417" s="260">
        <f t="shared" si="722"/>
        <v>0</v>
      </c>
      <c r="Q417" s="260"/>
      <c r="R417" s="260"/>
      <c r="S417" s="260">
        <f t="shared" si="725"/>
        <v>0</v>
      </c>
      <c r="T417" s="260"/>
      <c r="U417" s="260"/>
      <c r="V417" s="260">
        <f t="shared" si="728"/>
        <v>0</v>
      </c>
      <c r="W417" s="260"/>
      <c r="X417" s="260"/>
      <c r="Y417" s="260">
        <f t="shared" si="730"/>
        <v>0</v>
      </c>
      <c r="Z417" s="269"/>
      <c r="AA417" s="269"/>
      <c r="AB417" s="260">
        <f t="shared" si="733"/>
        <v>0</v>
      </c>
      <c r="FN417" s="251"/>
      <c r="FO417" s="251"/>
      <c r="FP417" s="251"/>
      <c r="FQ417" s="251"/>
      <c r="FR417" s="251"/>
      <c r="FS417" s="251"/>
      <c r="FT417" s="251"/>
      <c r="FU417" s="251"/>
      <c r="FV417" s="251"/>
      <c r="FW417" s="251"/>
      <c r="FX417" s="251"/>
      <c r="FY417" s="251"/>
      <c r="FZ417" s="251"/>
      <c r="GA417" s="251"/>
      <c r="GB417" s="251"/>
      <c r="GC417" s="251"/>
      <c r="GD417" s="251"/>
      <c r="GE417" s="251"/>
      <c r="GF417" s="251"/>
      <c r="GG417" s="251"/>
    </row>
    <row r="418" spans="1:194" s="254" customFormat="1" x14ac:dyDescent="0.25">
      <c r="A418" s="270" t="s">
        <v>478</v>
      </c>
      <c r="B418" s="253">
        <f t="shared" ref="B418:D421" si="753">E418+H418+K418+N418+Q418+T418+W418+Z418</f>
        <v>1057854</v>
      </c>
      <c r="C418" s="253">
        <f t="shared" si="753"/>
        <v>1057854</v>
      </c>
      <c r="D418" s="253">
        <f t="shared" si="753"/>
        <v>0</v>
      </c>
      <c r="E418" s="253">
        <f t="shared" ref="E418:R420" si="754">SUM(E419)</f>
        <v>0</v>
      </c>
      <c r="F418" s="253">
        <f t="shared" si="754"/>
        <v>0</v>
      </c>
      <c r="G418" s="253">
        <f t="shared" ref="G418:G421" si="755">F418-E418</f>
        <v>0</v>
      </c>
      <c r="H418" s="253">
        <f t="shared" si="754"/>
        <v>0</v>
      </c>
      <c r="I418" s="253">
        <f t="shared" si="754"/>
        <v>0</v>
      </c>
      <c r="J418" s="253">
        <f t="shared" si="716"/>
        <v>0</v>
      </c>
      <c r="K418" s="253">
        <f t="shared" si="754"/>
        <v>0</v>
      </c>
      <c r="L418" s="253">
        <f t="shared" si="754"/>
        <v>0</v>
      </c>
      <c r="M418" s="253">
        <f t="shared" si="719"/>
        <v>0</v>
      </c>
      <c r="N418" s="253">
        <f t="shared" si="754"/>
        <v>1057854</v>
      </c>
      <c r="O418" s="253">
        <f t="shared" si="754"/>
        <v>1057854</v>
      </c>
      <c r="P418" s="253">
        <f t="shared" si="722"/>
        <v>0</v>
      </c>
      <c r="Q418" s="253">
        <f t="shared" si="754"/>
        <v>0</v>
      </c>
      <c r="R418" s="253">
        <f t="shared" si="754"/>
        <v>0</v>
      </c>
      <c r="S418" s="253">
        <f t="shared" si="725"/>
        <v>0</v>
      </c>
      <c r="T418" s="253">
        <f t="shared" ref="T418:AA420" si="756">SUM(T419)</f>
        <v>0</v>
      </c>
      <c r="U418" s="253">
        <f t="shared" si="756"/>
        <v>0</v>
      </c>
      <c r="V418" s="253">
        <f t="shared" si="728"/>
        <v>0</v>
      </c>
      <c r="W418" s="253">
        <f t="shared" si="756"/>
        <v>0</v>
      </c>
      <c r="X418" s="253">
        <f t="shared" si="756"/>
        <v>0</v>
      </c>
      <c r="Y418" s="253">
        <f t="shared" si="730"/>
        <v>0</v>
      </c>
      <c r="Z418" s="253">
        <f t="shared" si="756"/>
        <v>0</v>
      </c>
      <c r="AA418" s="253">
        <f t="shared" si="756"/>
        <v>0</v>
      </c>
      <c r="AB418" s="253">
        <f t="shared" si="733"/>
        <v>0</v>
      </c>
    </row>
    <row r="419" spans="1:194" s="254" customFormat="1" x14ac:dyDescent="0.25">
      <c r="A419" s="252" t="s">
        <v>94</v>
      </c>
      <c r="B419" s="253">
        <f t="shared" si="753"/>
        <v>1057854</v>
      </c>
      <c r="C419" s="253">
        <f t="shared" si="753"/>
        <v>1057854</v>
      </c>
      <c r="D419" s="253">
        <f t="shared" si="753"/>
        <v>0</v>
      </c>
      <c r="E419" s="253">
        <f t="shared" si="754"/>
        <v>0</v>
      </c>
      <c r="F419" s="253">
        <f t="shared" si="754"/>
        <v>0</v>
      </c>
      <c r="G419" s="253">
        <f t="shared" si="755"/>
        <v>0</v>
      </c>
      <c r="H419" s="253">
        <f t="shared" si="754"/>
        <v>0</v>
      </c>
      <c r="I419" s="253">
        <f t="shared" si="754"/>
        <v>0</v>
      </c>
      <c r="J419" s="253">
        <f t="shared" si="716"/>
        <v>0</v>
      </c>
      <c r="K419" s="253">
        <f t="shared" si="754"/>
        <v>0</v>
      </c>
      <c r="L419" s="253">
        <f t="shared" si="754"/>
        <v>0</v>
      </c>
      <c r="M419" s="253">
        <f t="shared" si="719"/>
        <v>0</v>
      </c>
      <c r="N419" s="253">
        <f t="shared" si="754"/>
        <v>1057854</v>
      </c>
      <c r="O419" s="253">
        <f t="shared" si="754"/>
        <v>1057854</v>
      </c>
      <c r="P419" s="253">
        <f t="shared" si="722"/>
        <v>0</v>
      </c>
      <c r="Q419" s="253">
        <f t="shared" si="754"/>
        <v>0</v>
      </c>
      <c r="R419" s="253">
        <f t="shared" si="754"/>
        <v>0</v>
      </c>
      <c r="S419" s="253">
        <f t="shared" si="725"/>
        <v>0</v>
      </c>
      <c r="T419" s="253">
        <f t="shared" si="756"/>
        <v>0</v>
      </c>
      <c r="U419" s="253">
        <f t="shared" si="756"/>
        <v>0</v>
      </c>
      <c r="V419" s="253">
        <f t="shared" si="728"/>
        <v>0</v>
      </c>
      <c r="W419" s="253">
        <f t="shared" si="756"/>
        <v>0</v>
      </c>
      <c r="X419" s="253">
        <f t="shared" si="756"/>
        <v>0</v>
      </c>
      <c r="Y419" s="253">
        <f t="shared" si="730"/>
        <v>0</v>
      </c>
      <c r="Z419" s="253">
        <f t="shared" si="756"/>
        <v>0</v>
      </c>
      <c r="AA419" s="253">
        <f t="shared" si="756"/>
        <v>0</v>
      </c>
      <c r="AB419" s="253">
        <f t="shared" si="733"/>
        <v>0</v>
      </c>
    </row>
    <row r="420" spans="1:194" s="254" customFormat="1" ht="31.5" x14ac:dyDescent="0.25">
      <c r="A420" s="270" t="s">
        <v>479</v>
      </c>
      <c r="B420" s="253">
        <f t="shared" si="753"/>
        <v>1057854</v>
      </c>
      <c r="C420" s="253">
        <f t="shared" si="753"/>
        <v>1057854</v>
      </c>
      <c r="D420" s="253">
        <f t="shared" si="753"/>
        <v>0</v>
      </c>
      <c r="E420" s="253">
        <f t="shared" si="754"/>
        <v>0</v>
      </c>
      <c r="F420" s="253">
        <f t="shared" si="754"/>
        <v>0</v>
      </c>
      <c r="G420" s="253">
        <f t="shared" si="755"/>
        <v>0</v>
      </c>
      <c r="H420" s="253">
        <f t="shared" si="754"/>
        <v>0</v>
      </c>
      <c r="I420" s="253">
        <f t="shared" si="754"/>
        <v>0</v>
      </c>
      <c r="J420" s="253">
        <f t="shared" si="716"/>
        <v>0</v>
      </c>
      <c r="K420" s="253">
        <f t="shared" si="754"/>
        <v>0</v>
      </c>
      <c r="L420" s="253">
        <f t="shared" si="754"/>
        <v>0</v>
      </c>
      <c r="M420" s="253">
        <f t="shared" si="719"/>
        <v>0</v>
      </c>
      <c r="N420" s="253">
        <f t="shared" si="754"/>
        <v>1057854</v>
      </c>
      <c r="O420" s="253">
        <f t="shared" si="754"/>
        <v>1057854</v>
      </c>
      <c r="P420" s="253">
        <f t="shared" si="722"/>
        <v>0</v>
      </c>
      <c r="Q420" s="253">
        <f t="shared" si="754"/>
        <v>0</v>
      </c>
      <c r="R420" s="253">
        <f t="shared" si="754"/>
        <v>0</v>
      </c>
      <c r="S420" s="253">
        <f t="shared" si="725"/>
        <v>0</v>
      </c>
      <c r="T420" s="253">
        <f t="shared" si="756"/>
        <v>0</v>
      </c>
      <c r="U420" s="253">
        <f t="shared" si="756"/>
        <v>0</v>
      </c>
      <c r="V420" s="253">
        <f t="shared" si="728"/>
        <v>0</v>
      </c>
      <c r="W420" s="253">
        <f t="shared" si="756"/>
        <v>0</v>
      </c>
      <c r="X420" s="253">
        <f t="shared" si="756"/>
        <v>0</v>
      </c>
      <c r="Y420" s="253">
        <f t="shared" si="730"/>
        <v>0</v>
      </c>
      <c r="Z420" s="253">
        <f t="shared" si="756"/>
        <v>0</v>
      </c>
      <c r="AA420" s="253">
        <f t="shared" si="756"/>
        <v>0</v>
      </c>
      <c r="AB420" s="253">
        <f t="shared" si="733"/>
        <v>0</v>
      </c>
    </row>
    <row r="421" spans="1:194" s="254" customFormat="1" ht="63" x14ac:dyDescent="0.25">
      <c r="A421" s="264" t="s">
        <v>480</v>
      </c>
      <c r="B421" s="260">
        <f t="shared" si="753"/>
        <v>1057854</v>
      </c>
      <c r="C421" s="260">
        <f t="shared" si="753"/>
        <v>1057854</v>
      </c>
      <c r="D421" s="260">
        <f t="shared" si="753"/>
        <v>0</v>
      </c>
      <c r="E421" s="260"/>
      <c r="F421" s="260"/>
      <c r="G421" s="260">
        <f t="shared" si="755"/>
        <v>0</v>
      </c>
      <c r="H421" s="260"/>
      <c r="I421" s="260"/>
      <c r="J421" s="260">
        <f t="shared" si="716"/>
        <v>0</v>
      </c>
      <c r="K421" s="260"/>
      <c r="L421" s="260"/>
      <c r="M421" s="260">
        <f t="shared" si="719"/>
        <v>0</v>
      </c>
      <c r="N421" s="260">
        <v>1057854</v>
      </c>
      <c r="O421" s="260">
        <v>1057854</v>
      </c>
      <c r="P421" s="260">
        <f t="shared" si="722"/>
        <v>0</v>
      </c>
      <c r="Q421" s="260"/>
      <c r="R421" s="260"/>
      <c r="S421" s="260">
        <f t="shared" si="725"/>
        <v>0</v>
      </c>
      <c r="T421" s="260"/>
      <c r="U421" s="260"/>
      <c r="V421" s="260">
        <f t="shared" si="728"/>
        <v>0</v>
      </c>
      <c r="W421" s="260"/>
      <c r="X421" s="260"/>
      <c r="Y421" s="260">
        <f t="shared" si="730"/>
        <v>0</v>
      </c>
      <c r="Z421" s="269">
        <v>0</v>
      </c>
      <c r="AA421" s="269">
        <v>0</v>
      </c>
      <c r="AB421" s="260">
        <f t="shared" si="733"/>
        <v>0</v>
      </c>
      <c r="FS421" s="251"/>
      <c r="FT421" s="251"/>
      <c r="FU421" s="251"/>
      <c r="FV421" s="251"/>
      <c r="FW421" s="251"/>
      <c r="FX421" s="251"/>
      <c r="FY421" s="251"/>
      <c r="FZ421" s="251"/>
      <c r="GA421" s="251"/>
      <c r="GB421" s="251"/>
      <c r="GC421" s="251"/>
      <c r="GD421" s="251"/>
      <c r="GE421" s="251"/>
      <c r="GF421" s="251"/>
      <c r="GG421" s="251"/>
      <c r="GH421" s="251"/>
      <c r="GI421" s="251"/>
      <c r="GJ421" s="251"/>
      <c r="GK421" s="251"/>
      <c r="GL421" s="251"/>
    </row>
    <row r="433" spans="1:189" s="272" customFormat="1" x14ac:dyDescent="0.25">
      <c r="A433" s="271" t="s">
        <v>631</v>
      </c>
      <c r="B433" s="237"/>
      <c r="C433" s="237"/>
      <c r="D433" s="237"/>
      <c r="E433" s="237"/>
      <c r="F433" s="237"/>
      <c r="G433" s="237"/>
      <c r="H433" s="237"/>
      <c r="I433" s="237"/>
      <c r="J433" s="237"/>
      <c r="K433" s="237"/>
      <c r="L433" s="237"/>
      <c r="M433" s="237"/>
      <c r="N433" s="237"/>
      <c r="O433" s="237"/>
      <c r="P433" s="237"/>
      <c r="Q433" s="237"/>
      <c r="R433" s="237"/>
      <c r="S433" s="237"/>
      <c r="T433" s="237"/>
      <c r="U433" s="237"/>
      <c r="V433" s="237"/>
      <c r="W433" s="237"/>
      <c r="X433" s="237"/>
      <c r="Y433" s="237"/>
      <c r="Z433" s="237"/>
      <c r="AA433" s="237"/>
      <c r="AB433" s="237"/>
      <c r="AC433" s="237"/>
      <c r="AD433" s="237"/>
      <c r="AE433" s="237"/>
      <c r="AF433" s="237"/>
      <c r="AG433" s="237"/>
      <c r="AH433" s="237"/>
      <c r="AI433" s="237"/>
      <c r="AJ433" s="237"/>
      <c r="AK433" s="237"/>
      <c r="AL433" s="237"/>
      <c r="AM433" s="237"/>
      <c r="AN433" s="237"/>
      <c r="AO433" s="237"/>
      <c r="AP433" s="237"/>
      <c r="AQ433" s="237"/>
      <c r="AR433" s="237"/>
      <c r="AS433" s="237"/>
      <c r="AT433" s="237"/>
      <c r="AU433" s="237"/>
      <c r="AV433" s="237"/>
      <c r="AW433" s="237"/>
      <c r="AX433" s="237"/>
      <c r="AY433" s="237"/>
      <c r="AZ433" s="237"/>
      <c r="BA433" s="237"/>
      <c r="BB433" s="237"/>
      <c r="BC433" s="237"/>
      <c r="BD433" s="237"/>
      <c r="BE433" s="237"/>
      <c r="BF433" s="237"/>
      <c r="BG433" s="237"/>
      <c r="BH433" s="237"/>
      <c r="BI433" s="237"/>
      <c r="BJ433" s="237"/>
      <c r="BK433" s="237"/>
      <c r="BL433" s="237"/>
      <c r="BM433" s="237"/>
      <c r="BN433" s="237"/>
      <c r="BO433" s="237"/>
      <c r="BP433" s="237"/>
      <c r="BQ433" s="237"/>
      <c r="BR433" s="237"/>
      <c r="BS433" s="237"/>
      <c r="BT433" s="237"/>
      <c r="BU433" s="237"/>
      <c r="BV433" s="237"/>
      <c r="BW433" s="237"/>
      <c r="BX433" s="237"/>
      <c r="BY433" s="237"/>
      <c r="BZ433" s="237"/>
      <c r="CA433" s="237"/>
      <c r="CB433" s="237"/>
      <c r="CC433" s="237"/>
      <c r="CD433" s="237"/>
      <c r="CE433" s="237"/>
      <c r="CF433" s="237"/>
      <c r="CG433" s="237"/>
      <c r="CH433" s="237"/>
      <c r="CI433" s="237"/>
      <c r="CJ433" s="237"/>
      <c r="CK433" s="237"/>
      <c r="CL433" s="237"/>
      <c r="CM433" s="237"/>
      <c r="CN433" s="237"/>
      <c r="CO433" s="237"/>
      <c r="CP433" s="237"/>
      <c r="CQ433" s="237"/>
      <c r="CR433" s="237"/>
      <c r="CS433" s="237"/>
      <c r="CT433" s="237"/>
      <c r="CU433" s="237"/>
      <c r="CV433" s="237"/>
      <c r="CW433" s="237"/>
      <c r="CX433" s="237"/>
      <c r="CY433" s="237"/>
      <c r="CZ433" s="237"/>
      <c r="DA433" s="237"/>
      <c r="DB433" s="237"/>
      <c r="DC433" s="237"/>
      <c r="DD433" s="237"/>
      <c r="DE433" s="237"/>
      <c r="DF433" s="237"/>
      <c r="DG433" s="237"/>
      <c r="DH433" s="237"/>
      <c r="DI433" s="237"/>
      <c r="DJ433" s="237"/>
      <c r="DK433" s="237"/>
      <c r="DL433" s="237"/>
      <c r="DM433" s="237"/>
      <c r="DN433" s="237"/>
      <c r="DO433" s="237"/>
      <c r="DP433" s="237"/>
      <c r="DQ433" s="237"/>
      <c r="DR433" s="237"/>
      <c r="DS433" s="237"/>
      <c r="DT433" s="237"/>
      <c r="DU433" s="237"/>
      <c r="DV433" s="237"/>
      <c r="DW433" s="237"/>
      <c r="DX433" s="237"/>
      <c r="DY433" s="237"/>
      <c r="DZ433" s="237"/>
      <c r="EA433" s="237"/>
      <c r="EB433" s="237"/>
      <c r="EC433" s="237"/>
      <c r="ED433" s="237"/>
      <c r="EE433" s="237"/>
      <c r="EF433" s="237"/>
      <c r="EG433" s="237"/>
      <c r="EH433" s="237"/>
      <c r="EI433" s="237"/>
      <c r="EJ433" s="237"/>
      <c r="EK433" s="237"/>
      <c r="EL433" s="237"/>
      <c r="EM433" s="237"/>
      <c r="EN433" s="237"/>
      <c r="EO433" s="237"/>
      <c r="EP433" s="237"/>
      <c r="EQ433" s="237"/>
      <c r="ER433" s="237"/>
      <c r="ES433" s="237"/>
      <c r="ET433" s="237"/>
      <c r="EU433" s="237"/>
      <c r="EV433" s="237"/>
      <c r="EW433" s="237"/>
      <c r="EX433" s="237"/>
      <c r="EY433" s="237"/>
      <c r="EZ433" s="237"/>
      <c r="FA433" s="237"/>
      <c r="FB433" s="237"/>
      <c r="FC433" s="237"/>
      <c r="FD433" s="237"/>
      <c r="FE433" s="237"/>
      <c r="FF433" s="237"/>
      <c r="FG433" s="237"/>
      <c r="FH433" s="237"/>
      <c r="FI433" s="237"/>
      <c r="FJ433" s="237"/>
      <c r="FK433" s="237"/>
      <c r="FL433" s="237"/>
      <c r="FM433" s="237"/>
      <c r="FN433" s="237"/>
      <c r="FO433" s="237"/>
      <c r="FP433" s="237"/>
      <c r="FQ433" s="237"/>
      <c r="FR433" s="237"/>
      <c r="FS433" s="237"/>
      <c r="FT433" s="237"/>
      <c r="FU433" s="237"/>
      <c r="FV433" s="237"/>
      <c r="FW433" s="237"/>
      <c r="FX433" s="237"/>
      <c r="FY433" s="237"/>
      <c r="FZ433" s="237"/>
      <c r="GA433" s="237"/>
      <c r="GB433" s="237"/>
      <c r="GC433" s="237"/>
      <c r="GD433" s="237"/>
      <c r="GE433" s="237"/>
      <c r="GF433" s="237"/>
      <c r="GG433" s="237"/>
    </row>
    <row r="434" spans="1:189" s="272" customFormat="1" x14ac:dyDescent="0.25">
      <c r="A434" s="271" t="s">
        <v>387</v>
      </c>
      <c r="B434" s="237"/>
      <c r="C434" s="237"/>
      <c r="D434" s="237"/>
      <c r="E434" s="237"/>
      <c r="F434" s="237"/>
      <c r="G434" s="237"/>
      <c r="H434" s="237"/>
      <c r="I434" s="237"/>
      <c r="J434" s="237"/>
      <c r="K434" s="237"/>
      <c r="L434" s="237"/>
      <c r="M434" s="237"/>
      <c r="N434" s="237"/>
      <c r="O434" s="237"/>
      <c r="P434" s="237"/>
      <c r="Q434" s="237"/>
      <c r="R434" s="237"/>
      <c r="S434" s="237"/>
      <c r="T434" s="237"/>
      <c r="U434" s="237"/>
      <c r="V434" s="237"/>
      <c r="W434" s="237"/>
      <c r="X434" s="237"/>
      <c r="Y434" s="237"/>
      <c r="Z434" s="237"/>
      <c r="AA434" s="237"/>
      <c r="AB434" s="237"/>
      <c r="AC434" s="237"/>
      <c r="AD434" s="237"/>
      <c r="AE434" s="237"/>
      <c r="AF434" s="237"/>
      <c r="AG434" s="237"/>
      <c r="AH434" s="237"/>
      <c r="AI434" s="237"/>
      <c r="AJ434" s="237"/>
      <c r="AK434" s="237"/>
      <c r="AL434" s="237"/>
      <c r="AM434" s="237"/>
      <c r="AN434" s="237"/>
      <c r="AO434" s="237"/>
      <c r="AP434" s="237"/>
      <c r="AQ434" s="237"/>
      <c r="AR434" s="237"/>
      <c r="AS434" s="237"/>
      <c r="AT434" s="237"/>
      <c r="AU434" s="237"/>
      <c r="AV434" s="237"/>
      <c r="AW434" s="237"/>
      <c r="AX434" s="237"/>
      <c r="AY434" s="237"/>
      <c r="AZ434" s="237"/>
      <c r="BA434" s="237"/>
      <c r="BB434" s="237"/>
      <c r="BC434" s="237"/>
      <c r="BD434" s="237"/>
      <c r="BE434" s="237"/>
      <c r="BF434" s="237"/>
      <c r="BG434" s="237"/>
      <c r="BH434" s="237"/>
      <c r="BI434" s="237"/>
      <c r="BJ434" s="237"/>
      <c r="BK434" s="237"/>
      <c r="BL434" s="237"/>
      <c r="BM434" s="237"/>
      <c r="BN434" s="237"/>
      <c r="BO434" s="237"/>
      <c r="BP434" s="237"/>
      <c r="BQ434" s="237"/>
      <c r="BR434" s="237"/>
      <c r="BS434" s="237"/>
      <c r="BT434" s="237"/>
      <c r="BU434" s="237"/>
      <c r="BV434" s="237"/>
      <c r="BW434" s="237"/>
      <c r="BX434" s="237"/>
      <c r="BY434" s="237"/>
      <c r="BZ434" s="237"/>
      <c r="CA434" s="237"/>
      <c r="CB434" s="237"/>
      <c r="CC434" s="237"/>
      <c r="CD434" s="237"/>
      <c r="CE434" s="237"/>
      <c r="CF434" s="237"/>
      <c r="CG434" s="237"/>
      <c r="CH434" s="237"/>
      <c r="CI434" s="237"/>
      <c r="CJ434" s="237"/>
      <c r="CK434" s="237"/>
      <c r="CL434" s="237"/>
      <c r="CM434" s="237"/>
      <c r="CN434" s="237"/>
      <c r="CO434" s="237"/>
      <c r="CP434" s="237"/>
      <c r="CQ434" s="237"/>
      <c r="CR434" s="237"/>
      <c r="CS434" s="237"/>
      <c r="CT434" s="237"/>
      <c r="CU434" s="237"/>
      <c r="CV434" s="237"/>
      <c r="CW434" s="237"/>
      <c r="CX434" s="237"/>
      <c r="CY434" s="237"/>
      <c r="CZ434" s="237"/>
      <c r="DA434" s="237"/>
      <c r="DB434" s="237"/>
      <c r="DC434" s="237"/>
      <c r="DD434" s="237"/>
      <c r="DE434" s="237"/>
      <c r="DF434" s="237"/>
      <c r="DG434" s="237"/>
      <c r="DH434" s="237"/>
      <c r="DI434" s="237"/>
      <c r="DJ434" s="237"/>
      <c r="DK434" s="237"/>
      <c r="DL434" s="237"/>
      <c r="DM434" s="237"/>
      <c r="DN434" s="237"/>
      <c r="DO434" s="237"/>
      <c r="DP434" s="237"/>
      <c r="DQ434" s="237"/>
      <c r="DR434" s="237"/>
      <c r="DS434" s="237"/>
      <c r="DT434" s="237"/>
      <c r="DU434" s="237"/>
      <c r="DV434" s="237"/>
      <c r="DW434" s="237"/>
      <c r="DX434" s="237"/>
      <c r="DY434" s="237"/>
      <c r="DZ434" s="237"/>
      <c r="EA434" s="237"/>
      <c r="EB434" s="237"/>
      <c r="EC434" s="237"/>
      <c r="ED434" s="237"/>
      <c r="EE434" s="237"/>
      <c r="EF434" s="237"/>
      <c r="EG434" s="237"/>
      <c r="EH434" s="237"/>
      <c r="EI434" s="237"/>
      <c r="EJ434" s="237"/>
      <c r="EK434" s="237"/>
      <c r="EL434" s="237"/>
      <c r="EM434" s="237"/>
      <c r="EN434" s="237"/>
      <c r="EO434" s="237"/>
      <c r="EP434" s="237"/>
      <c r="EQ434" s="237"/>
      <c r="ER434" s="237"/>
      <c r="ES434" s="237"/>
      <c r="ET434" s="237"/>
      <c r="EU434" s="237"/>
      <c r="EV434" s="237"/>
      <c r="EW434" s="237"/>
      <c r="EX434" s="237"/>
      <c r="EY434" s="237"/>
      <c r="EZ434" s="237"/>
      <c r="FA434" s="237"/>
      <c r="FB434" s="237"/>
      <c r="FC434" s="237"/>
      <c r="FD434" s="237"/>
      <c r="FE434" s="237"/>
      <c r="FF434" s="237"/>
      <c r="FG434" s="237"/>
      <c r="FH434" s="237"/>
      <c r="FI434" s="237"/>
      <c r="FJ434" s="237"/>
      <c r="FK434" s="237"/>
      <c r="FL434" s="237"/>
      <c r="FM434" s="237"/>
      <c r="FN434" s="237"/>
      <c r="FO434" s="237"/>
      <c r="FP434" s="237"/>
      <c r="FQ434" s="237"/>
      <c r="FR434" s="237"/>
      <c r="FS434" s="237"/>
      <c r="FT434" s="237"/>
      <c r="FU434" s="237"/>
      <c r="FV434" s="237"/>
      <c r="FW434" s="237"/>
      <c r="FX434" s="237"/>
      <c r="FY434" s="237"/>
      <c r="FZ434" s="237"/>
      <c r="GA434" s="237"/>
      <c r="GB434" s="237"/>
      <c r="GC434" s="237"/>
      <c r="GD434" s="237"/>
      <c r="GE434" s="237"/>
      <c r="GF434" s="237"/>
      <c r="GG434" s="237"/>
    </row>
    <row r="435" spans="1:189" s="274" customFormat="1" x14ac:dyDescent="0.25">
      <c r="A435" s="273" t="s">
        <v>388</v>
      </c>
      <c r="B435" s="237"/>
      <c r="C435" s="237"/>
      <c r="D435" s="237"/>
      <c r="E435" s="237"/>
      <c r="F435" s="237"/>
      <c r="G435" s="237"/>
      <c r="H435" s="237"/>
      <c r="I435" s="237"/>
      <c r="J435" s="237"/>
      <c r="K435" s="237"/>
      <c r="L435" s="237"/>
      <c r="M435" s="237"/>
      <c r="N435" s="237"/>
      <c r="O435" s="237"/>
      <c r="P435" s="237"/>
      <c r="Q435" s="237"/>
      <c r="R435" s="237"/>
      <c r="S435" s="237"/>
      <c r="T435" s="237"/>
      <c r="U435" s="237"/>
      <c r="V435" s="237"/>
      <c r="W435" s="237"/>
      <c r="X435" s="237"/>
      <c r="Y435" s="237"/>
      <c r="Z435" s="237"/>
      <c r="AA435" s="237"/>
      <c r="AB435" s="237"/>
      <c r="AC435" s="237"/>
      <c r="AD435" s="237"/>
      <c r="AE435" s="237"/>
      <c r="AF435" s="237"/>
      <c r="AG435" s="237"/>
      <c r="AH435" s="237"/>
      <c r="AI435" s="237"/>
      <c r="AJ435" s="237"/>
      <c r="AK435" s="237"/>
      <c r="AL435" s="237"/>
      <c r="AM435" s="237"/>
      <c r="AN435" s="237"/>
      <c r="AO435" s="237"/>
      <c r="AP435" s="237"/>
      <c r="AQ435" s="237"/>
      <c r="AR435" s="237"/>
      <c r="AS435" s="237"/>
      <c r="AT435" s="237"/>
      <c r="AU435" s="237"/>
      <c r="AV435" s="237"/>
      <c r="AW435" s="237"/>
      <c r="AX435" s="237"/>
      <c r="AY435" s="237"/>
      <c r="AZ435" s="237"/>
      <c r="BA435" s="237"/>
      <c r="BB435" s="237"/>
      <c r="BC435" s="237"/>
      <c r="BD435" s="237"/>
      <c r="BE435" s="237"/>
      <c r="BF435" s="237"/>
      <c r="BG435" s="237"/>
      <c r="BH435" s="237"/>
      <c r="BI435" s="237"/>
      <c r="BJ435" s="237"/>
      <c r="BK435" s="237"/>
      <c r="BL435" s="237"/>
      <c r="BM435" s="237"/>
      <c r="BN435" s="237"/>
      <c r="BO435" s="237"/>
      <c r="BP435" s="237"/>
      <c r="BQ435" s="237"/>
      <c r="BR435" s="237"/>
      <c r="BS435" s="237"/>
      <c r="BT435" s="237"/>
      <c r="BU435" s="237"/>
      <c r="BV435" s="237"/>
      <c r="BW435" s="237"/>
      <c r="BX435" s="237"/>
      <c r="BY435" s="237"/>
      <c r="BZ435" s="237"/>
      <c r="CA435" s="237"/>
      <c r="CB435" s="237"/>
      <c r="CC435" s="237"/>
      <c r="CD435" s="237"/>
      <c r="CE435" s="237"/>
      <c r="CF435" s="237"/>
      <c r="CG435" s="237"/>
      <c r="CH435" s="237"/>
      <c r="CI435" s="237"/>
      <c r="CJ435" s="237"/>
      <c r="CK435" s="237"/>
      <c r="CL435" s="237"/>
      <c r="CM435" s="237"/>
      <c r="CN435" s="237"/>
      <c r="CO435" s="237"/>
      <c r="CP435" s="237"/>
      <c r="CQ435" s="237"/>
      <c r="CR435" s="237"/>
      <c r="CS435" s="237"/>
      <c r="CT435" s="237"/>
      <c r="CU435" s="237"/>
      <c r="CV435" s="237"/>
      <c r="CW435" s="237"/>
      <c r="CX435" s="237"/>
      <c r="CY435" s="237"/>
      <c r="CZ435" s="237"/>
      <c r="DA435" s="237"/>
      <c r="DB435" s="237"/>
      <c r="DC435" s="237"/>
      <c r="DD435" s="237"/>
      <c r="DE435" s="237"/>
      <c r="DF435" s="237"/>
      <c r="DG435" s="237"/>
      <c r="DH435" s="237"/>
      <c r="DI435" s="237"/>
      <c r="DJ435" s="237"/>
      <c r="DK435" s="237"/>
      <c r="DL435" s="237"/>
      <c r="DM435" s="237"/>
      <c r="DN435" s="237"/>
      <c r="DO435" s="237"/>
      <c r="DP435" s="237"/>
      <c r="DQ435" s="237"/>
      <c r="DR435" s="237"/>
      <c r="DS435" s="237"/>
      <c r="DT435" s="237"/>
      <c r="DU435" s="237"/>
      <c r="DV435" s="237"/>
      <c r="DW435" s="237"/>
      <c r="DX435" s="237"/>
      <c r="DY435" s="237"/>
      <c r="DZ435" s="237"/>
      <c r="EA435" s="237"/>
      <c r="EB435" s="237"/>
      <c r="EC435" s="237"/>
      <c r="ED435" s="237"/>
      <c r="EE435" s="237"/>
      <c r="EF435" s="237"/>
      <c r="EG435" s="237"/>
      <c r="EH435" s="237"/>
      <c r="EI435" s="237"/>
      <c r="EJ435" s="237"/>
      <c r="EK435" s="237"/>
      <c r="EL435" s="237"/>
      <c r="EM435" s="237"/>
      <c r="EN435" s="237"/>
      <c r="EO435" s="237"/>
      <c r="EP435" s="237"/>
      <c r="EQ435" s="237"/>
      <c r="ER435" s="237"/>
      <c r="ES435" s="237"/>
      <c r="ET435" s="237"/>
      <c r="EU435" s="237"/>
      <c r="EV435" s="237"/>
      <c r="EW435" s="237"/>
      <c r="EX435" s="237"/>
      <c r="EY435" s="237"/>
      <c r="EZ435" s="237"/>
      <c r="FA435" s="237"/>
      <c r="FB435" s="237"/>
      <c r="FC435" s="237"/>
      <c r="FD435" s="237"/>
      <c r="FE435" s="237"/>
      <c r="FF435" s="237"/>
      <c r="FG435" s="237"/>
      <c r="FH435" s="237"/>
      <c r="FI435" s="237"/>
      <c r="FJ435" s="237"/>
      <c r="FK435" s="237"/>
      <c r="FL435" s="237"/>
      <c r="FM435" s="237"/>
      <c r="FN435" s="237"/>
      <c r="FO435" s="237"/>
      <c r="FP435" s="237"/>
      <c r="FQ435" s="237"/>
      <c r="FR435" s="237"/>
      <c r="FS435" s="237"/>
      <c r="FT435" s="237"/>
      <c r="FU435" s="237"/>
      <c r="FV435" s="237"/>
      <c r="FW435" s="237"/>
      <c r="FX435" s="237"/>
      <c r="FY435" s="237"/>
      <c r="FZ435" s="237"/>
      <c r="GA435" s="237"/>
      <c r="GB435" s="237"/>
      <c r="GC435" s="237"/>
      <c r="GD435" s="237"/>
      <c r="GE435" s="237"/>
      <c r="GF435" s="237"/>
      <c r="GG435" s="237"/>
    </row>
    <row r="436" spans="1:189" x14ac:dyDescent="0.25">
      <c r="A436" s="273" t="s">
        <v>644</v>
      </c>
    </row>
    <row r="437" spans="1:189" s="236" customFormat="1" x14ac:dyDescent="0.25">
      <c r="A437" s="274"/>
      <c r="B437" s="237"/>
      <c r="C437" s="237"/>
      <c r="D437" s="237"/>
      <c r="E437" s="237"/>
      <c r="F437" s="237"/>
      <c r="G437" s="237"/>
      <c r="H437" s="237"/>
      <c r="I437" s="237"/>
      <c r="J437" s="237"/>
      <c r="K437" s="237"/>
      <c r="L437" s="237"/>
      <c r="M437" s="237"/>
      <c r="N437" s="237"/>
      <c r="O437" s="237"/>
      <c r="P437" s="237"/>
      <c r="Q437" s="237"/>
      <c r="R437" s="237"/>
      <c r="S437" s="237"/>
      <c r="T437" s="237"/>
      <c r="U437" s="237"/>
      <c r="V437" s="237"/>
      <c r="W437" s="237"/>
      <c r="X437" s="237"/>
      <c r="Y437" s="237"/>
      <c r="Z437" s="237"/>
      <c r="AA437" s="237"/>
      <c r="AB437" s="237"/>
      <c r="AC437" s="237"/>
      <c r="AD437" s="237"/>
      <c r="AE437" s="237"/>
      <c r="AF437" s="237"/>
      <c r="AG437" s="237"/>
      <c r="AH437" s="237"/>
      <c r="AI437" s="237"/>
      <c r="AJ437" s="237"/>
      <c r="AK437" s="237"/>
      <c r="AL437" s="237"/>
      <c r="AM437" s="237"/>
      <c r="AN437" s="237"/>
      <c r="AO437" s="237"/>
      <c r="AP437" s="237"/>
      <c r="AQ437" s="237"/>
      <c r="AR437" s="237"/>
      <c r="AS437" s="237"/>
      <c r="AT437" s="237"/>
      <c r="AU437" s="237"/>
      <c r="AV437" s="237"/>
      <c r="AW437" s="237"/>
      <c r="AX437" s="237"/>
      <c r="AY437" s="237"/>
      <c r="AZ437" s="237"/>
      <c r="BA437" s="237"/>
      <c r="BB437" s="237"/>
      <c r="BC437" s="237"/>
      <c r="BD437" s="237"/>
      <c r="BE437" s="237"/>
      <c r="BF437" s="237"/>
      <c r="BG437" s="237"/>
      <c r="BH437" s="237"/>
      <c r="BI437" s="237"/>
      <c r="BJ437" s="237"/>
      <c r="BK437" s="237"/>
      <c r="BL437" s="237"/>
      <c r="BM437" s="237"/>
      <c r="BN437" s="237"/>
      <c r="BO437" s="237"/>
      <c r="BP437" s="237"/>
      <c r="BQ437" s="237"/>
      <c r="BR437" s="237"/>
      <c r="BS437" s="237"/>
      <c r="BT437" s="237"/>
      <c r="BU437" s="237"/>
      <c r="BV437" s="237"/>
      <c r="BW437" s="237"/>
      <c r="BX437" s="237"/>
      <c r="BY437" s="237"/>
      <c r="BZ437" s="237"/>
      <c r="CA437" s="237"/>
      <c r="CB437" s="237"/>
      <c r="CC437" s="237"/>
      <c r="CD437" s="237"/>
      <c r="CE437" s="237"/>
      <c r="CF437" s="237"/>
      <c r="CG437" s="237"/>
      <c r="CH437" s="237"/>
      <c r="CI437" s="237"/>
      <c r="CJ437" s="237"/>
      <c r="CK437" s="237"/>
      <c r="CL437" s="237"/>
      <c r="CM437" s="237"/>
      <c r="CN437" s="237"/>
      <c r="CO437" s="237"/>
      <c r="CP437" s="237"/>
      <c r="CQ437" s="237"/>
      <c r="CR437" s="237"/>
      <c r="CS437" s="237"/>
      <c r="CT437" s="237"/>
      <c r="CU437" s="237"/>
      <c r="CV437" s="237"/>
      <c r="CW437" s="237"/>
      <c r="CX437" s="237"/>
      <c r="CY437" s="237"/>
      <c r="CZ437" s="237"/>
      <c r="DA437" s="237"/>
      <c r="DB437" s="237"/>
      <c r="DC437" s="237"/>
      <c r="DD437" s="237"/>
      <c r="DE437" s="237"/>
      <c r="DF437" s="237"/>
      <c r="DG437" s="237"/>
      <c r="DH437" s="237"/>
      <c r="DI437" s="237"/>
      <c r="DJ437" s="237"/>
      <c r="DK437" s="237"/>
      <c r="DL437" s="237"/>
      <c r="DM437" s="237"/>
      <c r="DN437" s="237"/>
      <c r="DO437" s="237"/>
      <c r="DP437" s="237"/>
      <c r="DQ437" s="237"/>
      <c r="DR437" s="237"/>
      <c r="DS437" s="237"/>
      <c r="DT437" s="237"/>
      <c r="DU437" s="237"/>
      <c r="DV437" s="237"/>
      <c r="DW437" s="237"/>
      <c r="DX437" s="237"/>
      <c r="DY437" s="237"/>
      <c r="DZ437" s="237"/>
      <c r="EA437" s="237"/>
      <c r="EB437" s="237"/>
      <c r="EC437" s="237"/>
      <c r="ED437" s="237"/>
      <c r="EE437" s="237"/>
      <c r="EF437" s="237"/>
      <c r="EG437" s="237"/>
      <c r="EH437" s="237"/>
      <c r="EI437" s="237"/>
      <c r="EJ437" s="237"/>
      <c r="EK437" s="237"/>
      <c r="EL437" s="237"/>
      <c r="EM437" s="237"/>
      <c r="EN437" s="237"/>
      <c r="EO437" s="237"/>
      <c r="EP437" s="237"/>
      <c r="EQ437" s="237"/>
      <c r="ER437" s="237"/>
      <c r="ES437" s="237"/>
      <c r="ET437" s="237"/>
      <c r="EU437" s="237"/>
      <c r="EV437" s="237"/>
      <c r="EW437" s="237"/>
      <c r="EX437" s="237"/>
      <c r="EY437" s="237"/>
      <c r="EZ437" s="237"/>
      <c r="FA437" s="237"/>
      <c r="FB437" s="237"/>
      <c r="FC437" s="237"/>
      <c r="FD437" s="237"/>
      <c r="FE437" s="237"/>
      <c r="FF437" s="237"/>
      <c r="FG437" s="237"/>
      <c r="FH437" s="237"/>
      <c r="FI437" s="237"/>
      <c r="FJ437" s="237"/>
      <c r="FK437" s="237"/>
      <c r="FL437" s="237"/>
      <c r="FM437" s="237"/>
      <c r="FN437" s="237"/>
      <c r="FO437" s="237"/>
      <c r="FP437" s="237"/>
      <c r="FQ437" s="237"/>
      <c r="FR437" s="237"/>
      <c r="FS437" s="237"/>
      <c r="FT437" s="237"/>
      <c r="FU437" s="237"/>
      <c r="FV437" s="237"/>
      <c r="FW437" s="237"/>
      <c r="FX437" s="237"/>
      <c r="FY437" s="237"/>
      <c r="FZ437" s="237"/>
      <c r="GA437" s="237"/>
      <c r="GB437" s="237"/>
      <c r="GC437" s="237"/>
      <c r="GD437" s="237"/>
      <c r="GE437" s="237"/>
      <c r="GF437" s="237"/>
      <c r="GG437" s="237"/>
    </row>
    <row r="438" spans="1:189" s="236" customFormat="1" x14ac:dyDescent="0.25">
      <c r="A438" s="275" t="s">
        <v>201</v>
      </c>
      <c r="B438" s="237"/>
      <c r="C438" s="237"/>
      <c r="D438" s="237"/>
      <c r="E438" s="237"/>
      <c r="F438" s="237"/>
      <c r="G438" s="237"/>
      <c r="H438" s="237"/>
      <c r="I438" s="237"/>
      <c r="J438" s="237"/>
      <c r="K438" s="237"/>
      <c r="L438" s="237"/>
      <c r="M438" s="237"/>
      <c r="N438" s="237"/>
      <c r="O438" s="237"/>
      <c r="P438" s="237"/>
      <c r="Q438" s="237"/>
      <c r="R438" s="237"/>
      <c r="S438" s="237"/>
      <c r="T438" s="237"/>
      <c r="U438" s="237"/>
      <c r="V438" s="237"/>
      <c r="W438" s="237"/>
      <c r="X438" s="237"/>
      <c r="Y438" s="237"/>
      <c r="Z438" s="237"/>
      <c r="AA438" s="237"/>
      <c r="AB438" s="237"/>
      <c r="AC438" s="237"/>
      <c r="AD438" s="237"/>
      <c r="AE438" s="237"/>
      <c r="AF438" s="237"/>
      <c r="AG438" s="237"/>
      <c r="AH438" s="237"/>
      <c r="AI438" s="237"/>
      <c r="AJ438" s="237"/>
      <c r="AK438" s="237"/>
      <c r="AL438" s="237"/>
      <c r="AM438" s="237"/>
      <c r="AN438" s="237"/>
      <c r="AO438" s="237"/>
      <c r="AP438" s="237"/>
      <c r="AQ438" s="237"/>
      <c r="AR438" s="237"/>
      <c r="AS438" s="237"/>
      <c r="AT438" s="237"/>
      <c r="AU438" s="237"/>
      <c r="AV438" s="237"/>
      <c r="AW438" s="237"/>
      <c r="AX438" s="237"/>
      <c r="AY438" s="237"/>
      <c r="AZ438" s="237"/>
      <c r="BA438" s="237"/>
      <c r="BB438" s="237"/>
      <c r="BC438" s="237"/>
      <c r="BD438" s="237"/>
      <c r="BE438" s="237"/>
      <c r="BF438" s="237"/>
      <c r="BG438" s="237"/>
      <c r="BH438" s="237"/>
      <c r="BI438" s="237"/>
      <c r="BJ438" s="237"/>
      <c r="BK438" s="237"/>
      <c r="BL438" s="237"/>
      <c r="BM438" s="237"/>
      <c r="BN438" s="237"/>
      <c r="BO438" s="237"/>
      <c r="BP438" s="237"/>
      <c r="BQ438" s="237"/>
      <c r="BR438" s="237"/>
      <c r="BS438" s="237"/>
      <c r="BT438" s="237"/>
      <c r="BU438" s="237"/>
      <c r="BV438" s="237"/>
      <c r="BW438" s="237"/>
      <c r="BX438" s="237"/>
      <c r="BY438" s="237"/>
      <c r="BZ438" s="237"/>
      <c r="CA438" s="237"/>
      <c r="CB438" s="237"/>
      <c r="CC438" s="237"/>
      <c r="CD438" s="237"/>
      <c r="CE438" s="237"/>
      <c r="CF438" s="237"/>
      <c r="CG438" s="237"/>
      <c r="CH438" s="237"/>
      <c r="CI438" s="237"/>
      <c r="CJ438" s="237"/>
      <c r="CK438" s="237"/>
      <c r="CL438" s="237"/>
      <c r="CM438" s="237"/>
      <c r="CN438" s="237"/>
      <c r="CO438" s="237"/>
      <c r="CP438" s="237"/>
      <c r="CQ438" s="237"/>
      <c r="CR438" s="237"/>
      <c r="CS438" s="237"/>
      <c r="CT438" s="237"/>
      <c r="CU438" s="237"/>
      <c r="CV438" s="237"/>
      <c r="CW438" s="237"/>
      <c r="CX438" s="237"/>
      <c r="CY438" s="237"/>
      <c r="CZ438" s="237"/>
      <c r="DA438" s="237"/>
      <c r="DB438" s="237"/>
      <c r="DC438" s="237"/>
      <c r="DD438" s="237"/>
      <c r="DE438" s="237"/>
      <c r="DF438" s="237"/>
      <c r="DG438" s="237"/>
      <c r="DH438" s="237"/>
      <c r="DI438" s="237"/>
      <c r="DJ438" s="237"/>
      <c r="DK438" s="237"/>
      <c r="DL438" s="237"/>
      <c r="DM438" s="237"/>
      <c r="DN438" s="237"/>
      <c r="DO438" s="237"/>
      <c r="DP438" s="237"/>
      <c r="DQ438" s="237"/>
      <c r="DR438" s="237"/>
      <c r="DS438" s="237"/>
      <c r="DT438" s="237"/>
      <c r="DU438" s="237"/>
      <c r="DV438" s="237"/>
      <c r="DW438" s="237"/>
      <c r="DX438" s="237"/>
      <c r="DY438" s="237"/>
      <c r="DZ438" s="237"/>
      <c r="EA438" s="237"/>
      <c r="EB438" s="237"/>
      <c r="EC438" s="237"/>
      <c r="ED438" s="237"/>
      <c r="EE438" s="237"/>
      <c r="EF438" s="237"/>
      <c r="EG438" s="237"/>
      <c r="EH438" s="237"/>
      <c r="EI438" s="237"/>
      <c r="EJ438" s="237"/>
      <c r="EK438" s="237"/>
      <c r="EL438" s="237"/>
      <c r="EM438" s="237"/>
      <c r="EN438" s="237"/>
      <c r="EO438" s="237"/>
      <c r="EP438" s="237"/>
      <c r="EQ438" s="237"/>
      <c r="ER438" s="237"/>
      <c r="ES438" s="237"/>
      <c r="ET438" s="237"/>
      <c r="EU438" s="237"/>
      <c r="EV438" s="237"/>
      <c r="EW438" s="237"/>
      <c r="EX438" s="237"/>
      <c r="EY438" s="237"/>
      <c r="EZ438" s="237"/>
      <c r="FA438" s="237"/>
      <c r="FB438" s="237"/>
      <c r="FC438" s="237"/>
      <c r="FD438" s="237"/>
      <c r="FE438" s="237"/>
      <c r="FF438" s="237"/>
      <c r="FG438" s="237"/>
      <c r="FH438" s="237"/>
      <c r="FI438" s="237"/>
      <c r="FJ438" s="237"/>
      <c r="FK438" s="237"/>
      <c r="FL438" s="237"/>
      <c r="FM438" s="237"/>
      <c r="FN438" s="237"/>
      <c r="FO438" s="237"/>
      <c r="FP438" s="237"/>
      <c r="FQ438" s="237"/>
      <c r="FR438" s="237"/>
      <c r="FS438" s="237"/>
      <c r="FT438" s="237"/>
      <c r="FU438" s="237"/>
      <c r="FV438" s="237"/>
      <c r="FW438" s="237"/>
      <c r="FX438" s="237"/>
      <c r="FY438" s="237"/>
      <c r="FZ438" s="237"/>
      <c r="GA438" s="237"/>
      <c r="GB438" s="237"/>
      <c r="GC438" s="237"/>
      <c r="GD438" s="237"/>
      <c r="GE438" s="237"/>
      <c r="GF438" s="237"/>
      <c r="GG438" s="237"/>
    </row>
    <row r="439" spans="1:189" s="236" customFormat="1" x14ac:dyDescent="0.25">
      <c r="A439" s="276" t="s">
        <v>202</v>
      </c>
      <c r="B439" s="237"/>
      <c r="C439" s="237"/>
      <c r="D439" s="237"/>
      <c r="E439" s="237"/>
      <c r="F439" s="237"/>
      <c r="G439" s="237"/>
      <c r="H439" s="237"/>
      <c r="I439" s="237"/>
      <c r="J439" s="237"/>
      <c r="K439" s="237"/>
      <c r="L439" s="237"/>
      <c r="M439" s="237"/>
      <c r="N439" s="237"/>
      <c r="O439" s="237"/>
      <c r="P439" s="237"/>
      <c r="Q439" s="237"/>
      <c r="R439" s="237"/>
      <c r="S439" s="237"/>
      <c r="T439" s="237"/>
      <c r="U439" s="237"/>
      <c r="V439" s="237"/>
      <c r="W439" s="237"/>
      <c r="X439" s="237"/>
      <c r="Y439" s="237"/>
      <c r="Z439" s="237"/>
      <c r="AA439" s="237"/>
      <c r="AB439" s="237"/>
      <c r="AC439" s="237"/>
      <c r="AD439" s="237"/>
      <c r="AE439" s="237"/>
      <c r="AF439" s="237"/>
      <c r="AG439" s="237"/>
      <c r="AH439" s="237"/>
      <c r="AI439" s="237"/>
      <c r="AJ439" s="237"/>
      <c r="AK439" s="237"/>
      <c r="AL439" s="237"/>
      <c r="AM439" s="237"/>
      <c r="AN439" s="237"/>
      <c r="AO439" s="237"/>
      <c r="AP439" s="237"/>
      <c r="AQ439" s="237"/>
      <c r="AR439" s="237"/>
      <c r="AS439" s="237"/>
      <c r="AT439" s="237"/>
      <c r="AU439" s="237"/>
      <c r="AV439" s="237"/>
      <c r="AW439" s="237"/>
      <c r="AX439" s="237"/>
      <c r="AY439" s="237"/>
      <c r="AZ439" s="237"/>
      <c r="BA439" s="237"/>
      <c r="BB439" s="237"/>
      <c r="BC439" s="237"/>
      <c r="BD439" s="237"/>
      <c r="BE439" s="237"/>
      <c r="BF439" s="237"/>
      <c r="BG439" s="237"/>
      <c r="BH439" s="237"/>
      <c r="BI439" s="237"/>
      <c r="BJ439" s="237"/>
      <c r="BK439" s="237"/>
      <c r="BL439" s="237"/>
      <c r="BM439" s="237"/>
      <c r="BN439" s="237"/>
      <c r="BO439" s="237"/>
      <c r="BP439" s="237"/>
      <c r="BQ439" s="237"/>
      <c r="BR439" s="237"/>
      <c r="BS439" s="237"/>
      <c r="BT439" s="237"/>
      <c r="BU439" s="237"/>
      <c r="BV439" s="237"/>
      <c r="BW439" s="237"/>
      <c r="BX439" s="237"/>
      <c r="BY439" s="237"/>
      <c r="BZ439" s="237"/>
      <c r="CA439" s="237"/>
      <c r="CB439" s="237"/>
      <c r="CC439" s="237"/>
      <c r="CD439" s="237"/>
      <c r="CE439" s="237"/>
      <c r="CF439" s="237"/>
      <c r="CG439" s="237"/>
      <c r="CH439" s="237"/>
      <c r="CI439" s="237"/>
      <c r="CJ439" s="237"/>
      <c r="CK439" s="237"/>
      <c r="CL439" s="237"/>
      <c r="CM439" s="237"/>
      <c r="CN439" s="237"/>
      <c r="CO439" s="237"/>
      <c r="CP439" s="237"/>
      <c r="CQ439" s="237"/>
      <c r="CR439" s="237"/>
      <c r="CS439" s="237"/>
      <c r="CT439" s="237"/>
      <c r="CU439" s="237"/>
      <c r="CV439" s="237"/>
      <c r="CW439" s="237"/>
      <c r="CX439" s="237"/>
      <c r="CY439" s="237"/>
      <c r="CZ439" s="237"/>
      <c r="DA439" s="237"/>
      <c r="DB439" s="237"/>
      <c r="DC439" s="237"/>
      <c r="DD439" s="237"/>
      <c r="DE439" s="237"/>
      <c r="DF439" s="237"/>
      <c r="DG439" s="237"/>
      <c r="DH439" s="237"/>
      <c r="DI439" s="237"/>
      <c r="DJ439" s="237"/>
      <c r="DK439" s="237"/>
      <c r="DL439" s="237"/>
      <c r="DM439" s="237"/>
      <c r="DN439" s="237"/>
      <c r="DO439" s="237"/>
      <c r="DP439" s="237"/>
      <c r="DQ439" s="237"/>
      <c r="DR439" s="237"/>
      <c r="DS439" s="237"/>
      <c r="DT439" s="237"/>
      <c r="DU439" s="237"/>
      <c r="DV439" s="237"/>
      <c r="DW439" s="237"/>
      <c r="DX439" s="237"/>
      <c r="DY439" s="237"/>
      <c r="DZ439" s="237"/>
      <c r="EA439" s="237"/>
      <c r="EB439" s="237"/>
      <c r="EC439" s="237"/>
      <c r="ED439" s="237"/>
      <c r="EE439" s="237"/>
      <c r="EF439" s="237"/>
      <c r="EG439" s="237"/>
      <c r="EH439" s="237"/>
      <c r="EI439" s="237"/>
      <c r="EJ439" s="237"/>
      <c r="EK439" s="237"/>
      <c r="EL439" s="237"/>
      <c r="EM439" s="237"/>
      <c r="EN439" s="237"/>
      <c r="EO439" s="237"/>
      <c r="EP439" s="237"/>
      <c r="EQ439" s="237"/>
      <c r="ER439" s="237"/>
      <c r="ES439" s="237"/>
      <c r="ET439" s="237"/>
      <c r="EU439" s="237"/>
      <c r="EV439" s="237"/>
      <c r="EW439" s="237"/>
      <c r="EX439" s="237"/>
      <c r="EY439" s="237"/>
      <c r="EZ439" s="237"/>
      <c r="FA439" s="237"/>
      <c r="FB439" s="237"/>
      <c r="FC439" s="237"/>
      <c r="FD439" s="237"/>
      <c r="FE439" s="237"/>
      <c r="FF439" s="237"/>
      <c r="FG439" s="237"/>
      <c r="FH439" s="237"/>
      <c r="FI439" s="237"/>
      <c r="FJ439" s="237"/>
      <c r="FK439" s="237"/>
      <c r="FL439" s="237"/>
      <c r="FM439" s="237"/>
      <c r="FN439" s="237"/>
      <c r="FO439" s="237"/>
      <c r="FP439" s="237"/>
      <c r="FQ439" s="237"/>
      <c r="FR439" s="237"/>
      <c r="FS439" s="237"/>
      <c r="FT439" s="237"/>
      <c r="FU439" s="237"/>
      <c r="FV439" s="237"/>
      <c r="FW439" s="237"/>
      <c r="FX439" s="237"/>
      <c r="FY439" s="237"/>
      <c r="FZ439" s="237"/>
      <c r="GA439" s="237"/>
      <c r="GB439" s="237"/>
      <c r="GC439" s="237"/>
      <c r="GD439" s="237"/>
      <c r="GE439" s="237"/>
      <c r="GF439" s="237"/>
      <c r="GG439" s="237"/>
    </row>
    <row r="440" spans="1:189" s="236" customFormat="1" x14ac:dyDescent="0.25">
      <c r="A440" s="277" t="s">
        <v>203</v>
      </c>
      <c r="B440" s="237"/>
      <c r="C440" s="237"/>
      <c r="D440" s="237"/>
      <c r="E440" s="237"/>
      <c r="F440" s="237"/>
      <c r="G440" s="237"/>
      <c r="H440" s="237"/>
      <c r="I440" s="237"/>
      <c r="J440" s="237"/>
      <c r="K440" s="237"/>
      <c r="L440" s="237"/>
      <c r="M440" s="237"/>
      <c r="N440" s="237"/>
      <c r="O440" s="237"/>
      <c r="P440" s="237"/>
      <c r="Q440" s="237"/>
      <c r="R440" s="237"/>
      <c r="S440" s="237"/>
      <c r="T440" s="237"/>
      <c r="U440" s="237"/>
      <c r="V440" s="237"/>
      <c r="W440" s="237"/>
      <c r="X440" s="237"/>
      <c r="Y440" s="237"/>
      <c r="Z440" s="237"/>
      <c r="AA440" s="237"/>
      <c r="AB440" s="237"/>
      <c r="AC440" s="237"/>
      <c r="AD440" s="237"/>
      <c r="AE440" s="237"/>
      <c r="AF440" s="237"/>
      <c r="AG440" s="237"/>
      <c r="AH440" s="237"/>
      <c r="AI440" s="237"/>
      <c r="AJ440" s="237"/>
      <c r="AK440" s="237"/>
      <c r="AL440" s="237"/>
      <c r="AM440" s="237"/>
      <c r="AN440" s="237"/>
      <c r="AO440" s="237"/>
      <c r="AP440" s="237"/>
      <c r="AQ440" s="237"/>
      <c r="AR440" s="237"/>
      <c r="AS440" s="237"/>
      <c r="AT440" s="237"/>
      <c r="AU440" s="237"/>
      <c r="AV440" s="237"/>
      <c r="AW440" s="237"/>
      <c r="AX440" s="237"/>
      <c r="AY440" s="237"/>
      <c r="AZ440" s="237"/>
      <c r="BA440" s="237"/>
      <c r="BB440" s="237"/>
      <c r="BC440" s="237"/>
      <c r="BD440" s="237"/>
      <c r="BE440" s="237"/>
      <c r="BF440" s="237"/>
      <c r="BG440" s="237"/>
      <c r="BH440" s="237"/>
      <c r="BI440" s="237"/>
      <c r="BJ440" s="237"/>
      <c r="BK440" s="237"/>
      <c r="BL440" s="237"/>
      <c r="BM440" s="237"/>
      <c r="BN440" s="237"/>
      <c r="BO440" s="237"/>
      <c r="BP440" s="237"/>
      <c r="BQ440" s="237"/>
      <c r="BR440" s="237"/>
      <c r="BS440" s="237"/>
      <c r="BT440" s="237"/>
      <c r="BU440" s="237"/>
      <c r="BV440" s="237"/>
      <c r="BW440" s="237"/>
      <c r="BX440" s="237"/>
      <c r="BY440" s="237"/>
      <c r="BZ440" s="237"/>
      <c r="CA440" s="237"/>
      <c r="CB440" s="237"/>
      <c r="CC440" s="237"/>
      <c r="CD440" s="237"/>
      <c r="CE440" s="237"/>
      <c r="CF440" s="237"/>
      <c r="CG440" s="237"/>
      <c r="CH440" s="237"/>
      <c r="CI440" s="237"/>
      <c r="CJ440" s="237"/>
      <c r="CK440" s="237"/>
      <c r="CL440" s="237"/>
      <c r="CM440" s="237"/>
      <c r="CN440" s="237"/>
      <c r="CO440" s="237"/>
      <c r="CP440" s="237"/>
      <c r="CQ440" s="237"/>
      <c r="CR440" s="237"/>
      <c r="CS440" s="237"/>
      <c r="CT440" s="237"/>
      <c r="CU440" s="237"/>
      <c r="CV440" s="237"/>
      <c r="CW440" s="237"/>
      <c r="CX440" s="237"/>
      <c r="CY440" s="237"/>
      <c r="CZ440" s="237"/>
      <c r="DA440" s="237"/>
      <c r="DB440" s="237"/>
      <c r="DC440" s="237"/>
      <c r="DD440" s="237"/>
      <c r="DE440" s="237"/>
      <c r="DF440" s="237"/>
      <c r="DG440" s="237"/>
      <c r="DH440" s="237"/>
      <c r="DI440" s="237"/>
      <c r="DJ440" s="237"/>
      <c r="DK440" s="237"/>
      <c r="DL440" s="237"/>
      <c r="DM440" s="237"/>
      <c r="DN440" s="237"/>
      <c r="DO440" s="237"/>
      <c r="DP440" s="237"/>
      <c r="DQ440" s="237"/>
      <c r="DR440" s="237"/>
      <c r="DS440" s="237"/>
      <c r="DT440" s="237"/>
      <c r="DU440" s="237"/>
      <c r="DV440" s="237"/>
      <c r="DW440" s="237"/>
      <c r="DX440" s="237"/>
      <c r="DY440" s="237"/>
      <c r="DZ440" s="237"/>
      <c r="EA440" s="237"/>
      <c r="EB440" s="237"/>
      <c r="EC440" s="237"/>
      <c r="ED440" s="237"/>
      <c r="EE440" s="237"/>
      <c r="EF440" s="237"/>
      <c r="EG440" s="237"/>
      <c r="EH440" s="237"/>
      <c r="EI440" s="237"/>
      <c r="EJ440" s="237"/>
      <c r="EK440" s="237"/>
      <c r="EL440" s="237"/>
      <c r="EM440" s="237"/>
      <c r="EN440" s="237"/>
      <c r="EO440" s="237"/>
      <c r="EP440" s="237"/>
      <c r="EQ440" s="237"/>
      <c r="ER440" s="237"/>
      <c r="ES440" s="237"/>
      <c r="ET440" s="237"/>
      <c r="EU440" s="237"/>
      <c r="EV440" s="237"/>
      <c r="EW440" s="237"/>
      <c r="EX440" s="237"/>
      <c r="EY440" s="237"/>
      <c r="EZ440" s="237"/>
      <c r="FA440" s="237"/>
      <c r="FB440" s="237"/>
      <c r="FC440" s="237"/>
      <c r="FD440" s="237"/>
      <c r="FE440" s="237"/>
      <c r="FF440" s="237"/>
      <c r="FG440" s="237"/>
      <c r="FH440" s="237"/>
      <c r="FI440" s="237"/>
      <c r="FJ440" s="237"/>
      <c r="FK440" s="237"/>
      <c r="FL440" s="237"/>
      <c r="FM440" s="237"/>
      <c r="FN440" s="237"/>
      <c r="FO440" s="237"/>
      <c r="FP440" s="237"/>
      <c r="FQ440" s="237"/>
      <c r="FR440" s="237"/>
      <c r="FS440" s="237"/>
      <c r="FT440" s="237"/>
      <c r="FU440" s="237"/>
      <c r="FV440" s="237"/>
      <c r="FW440" s="237"/>
      <c r="FX440" s="237"/>
      <c r="FY440" s="237"/>
      <c r="FZ440" s="237"/>
      <c r="GA440" s="237"/>
      <c r="GB440" s="237"/>
      <c r="GC440" s="237"/>
      <c r="GD440" s="237"/>
      <c r="GE440" s="237"/>
      <c r="GF440" s="237"/>
      <c r="GG440" s="237"/>
    </row>
    <row r="441" spans="1:189" s="236" customFormat="1" x14ac:dyDescent="0.25">
      <c r="A441" s="278"/>
      <c r="B441" s="237"/>
      <c r="C441" s="237"/>
      <c r="D441" s="237"/>
      <c r="E441" s="237"/>
      <c r="F441" s="237"/>
      <c r="G441" s="237"/>
      <c r="H441" s="237"/>
      <c r="I441" s="237"/>
      <c r="J441" s="237"/>
      <c r="K441" s="237"/>
      <c r="L441" s="237"/>
      <c r="M441" s="237"/>
      <c r="N441" s="237"/>
      <c r="O441" s="237"/>
      <c r="P441" s="237"/>
      <c r="Q441" s="237"/>
      <c r="R441" s="237"/>
      <c r="S441" s="237"/>
      <c r="T441" s="237"/>
      <c r="U441" s="237"/>
      <c r="V441" s="237"/>
      <c r="W441" s="237"/>
      <c r="X441" s="237"/>
      <c r="Y441" s="237"/>
      <c r="Z441" s="237"/>
      <c r="AA441" s="237"/>
      <c r="AB441" s="237"/>
      <c r="AC441" s="237"/>
      <c r="AD441" s="237"/>
      <c r="AE441" s="237"/>
      <c r="AF441" s="237"/>
      <c r="AG441" s="237"/>
      <c r="AH441" s="237"/>
      <c r="AI441" s="237"/>
      <c r="AJ441" s="237"/>
      <c r="AK441" s="237"/>
      <c r="AL441" s="237"/>
      <c r="AM441" s="237"/>
      <c r="AN441" s="237"/>
      <c r="AO441" s="237"/>
      <c r="AP441" s="237"/>
      <c r="AQ441" s="237"/>
      <c r="AR441" s="237"/>
      <c r="AS441" s="237"/>
      <c r="AT441" s="237"/>
      <c r="AU441" s="237"/>
      <c r="AV441" s="237"/>
      <c r="AW441" s="237"/>
      <c r="AX441" s="237"/>
      <c r="AY441" s="237"/>
      <c r="AZ441" s="237"/>
      <c r="BA441" s="237"/>
      <c r="BB441" s="237"/>
      <c r="BC441" s="237"/>
      <c r="BD441" s="237"/>
      <c r="BE441" s="237"/>
      <c r="BF441" s="237"/>
      <c r="BG441" s="237"/>
      <c r="BH441" s="237"/>
      <c r="BI441" s="237"/>
      <c r="BJ441" s="237"/>
      <c r="BK441" s="237"/>
      <c r="BL441" s="237"/>
      <c r="BM441" s="237"/>
      <c r="BN441" s="237"/>
      <c r="BO441" s="237"/>
      <c r="BP441" s="237"/>
      <c r="BQ441" s="237"/>
      <c r="BR441" s="237"/>
      <c r="BS441" s="237"/>
      <c r="BT441" s="237"/>
      <c r="BU441" s="237"/>
      <c r="BV441" s="237"/>
      <c r="BW441" s="237"/>
      <c r="BX441" s="237"/>
      <c r="BY441" s="237"/>
      <c r="BZ441" s="237"/>
      <c r="CA441" s="237"/>
      <c r="CB441" s="237"/>
      <c r="CC441" s="237"/>
      <c r="CD441" s="237"/>
      <c r="CE441" s="237"/>
      <c r="CF441" s="237"/>
      <c r="CG441" s="237"/>
      <c r="CH441" s="237"/>
      <c r="CI441" s="237"/>
      <c r="CJ441" s="237"/>
      <c r="CK441" s="237"/>
      <c r="CL441" s="237"/>
      <c r="CM441" s="237"/>
      <c r="CN441" s="237"/>
      <c r="CO441" s="237"/>
      <c r="CP441" s="237"/>
      <c r="CQ441" s="237"/>
      <c r="CR441" s="237"/>
      <c r="CS441" s="237"/>
      <c r="CT441" s="237"/>
      <c r="CU441" s="237"/>
      <c r="CV441" s="237"/>
      <c r="CW441" s="237"/>
      <c r="CX441" s="237"/>
      <c r="CY441" s="237"/>
      <c r="CZ441" s="237"/>
      <c r="DA441" s="237"/>
      <c r="DB441" s="237"/>
      <c r="DC441" s="237"/>
      <c r="DD441" s="237"/>
      <c r="DE441" s="237"/>
      <c r="DF441" s="237"/>
      <c r="DG441" s="237"/>
      <c r="DH441" s="237"/>
      <c r="DI441" s="237"/>
      <c r="DJ441" s="237"/>
      <c r="DK441" s="237"/>
      <c r="DL441" s="237"/>
      <c r="DM441" s="237"/>
      <c r="DN441" s="237"/>
      <c r="DO441" s="237"/>
      <c r="DP441" s="237"/>
      <c r="DQ441" s="237"/>
      <c r="DR441" s="237"/>
      <c r="DS441" s="237"/>
      <c r="DT441" s="237"/>
      <c r="DU441" s="237"/>
      <c r="DV441" s="237"/>
      <c r="DW441" s="237"/>
      <c r="DX441" s="237"/>
      <c r="DY441" s="237"/>
      <c r="DZ441" s="237"/>
      <c r="EA441" s="237"/>
      <c r="EB441" s="237"/>
      <c r="EC441" s="237"/>
      <c r="ED441" s="237"/>
      <c r="EE441" s="237"/>
      <c r="EF441" s="237"/>
      <c r="EG441" s="237"/>
      <c r="EH441" s="237"/>
      <c r="EI441" s="237"/>
      <c r="EJ441" s="237"/>
      <c r="EK441" s="237"/>
      <c r="EL441" s="237"/>
      <c r="EM441" s="237"/>
      <c r="EN441" s="237"/>
      <c r="EO441" s="237"/>
      <c r="EP441" s="237"/>
      <c r="EQ441" s="237"/>
      <c r="ER441" s="237"/>
      <c r="ES441" s="237"/>
      <c r="ET441" s="237"/>
      <c r="EU441" s="237"/>
      <c r="EV441" s="237"/>
      <c r="EW441" s="237"/>
      <c r="EX441" s="237"/>
      <c r="EY441" s="237"/>
      <c r="EZ441" s="237"/>
      <c r="FA441" s="237"/>
      <c r="FB441" s="237"/>
      <c r="FC441" s="237"/>
      <c r="FD441" s="237"/>
      <c r="FE441" s="237"/>
      <c r="FF441" s="237"/>
      <c r="FG441" s="237"/>
      <c r="FH441" s="237"/>
      <c r="FI441" s="237"/>
      <c r="FJ441" s="237"/>
      <c r="FK441" s="237"/>
      <c r="FL441" s="237"/>
      <c r="FM441" s="237"/>
      <c r="FN441" s="237"/>
      <c r="FO441" s="237"/>
      <c r="FP441" s="237"/>
      <c r="FQ441" s="237"/>
      <c r="FR441" s="237"/>
      <c r="FS441" s="237"/>
      <c r="FT441" s="237"/>
      <c r="FU441" s="237"/>
      <c r="FV441" s="237"/>
      <c r="FW441" s="237"/>
      <c r="FX441" s="237"/>
      <c r="FY441" s="237"/>
      <c r="FZ441" s="237"/>
      <c r="GA441" s="237"/>
      <c r="GB441" s="237"/>
      <c r="GC441" s="237"/>
      <c r="GD441" s="237"/>
      <c r="GE441" s="237"/>
      <c r="GF441" s="237"/>
      <c r="GG441" s="237"/>
    </row>
    <row r="442" spans="1:189" s="236" customFormat="1" x14ac:dyDescent="0.25">
      <c r="A442" s="274" t="s">
        <v>204</v>
      </c>
      <c r="B442" s="237"/>
      <c r="C442" s="237"/>
      <c r="D442" s="237"/>
      <c r="E442" s="237"/>
      <c r="F442" s="237"/>
      <c r="G442" s="237"/>
      <c r="H442" s="237"/>
      <c r="I442" s="237"/>
      <c r="J442" s="237"/>
      <c r="K442" s="237"/>
      <c r="L442" s="237"/>
      <c r="M442" s="237"/>
      <c r="N442" s="237"/>
      <c r="O442" s="237"/>
      <c r="P442" s="237"/>
      <c r="Q442" s="237"/>
      <c r="R442" s="237"/>
      <c r="S442" s="237"/>
      <c r="T442" s="237"/>
      <c r="U442" s="237"/>
      <c r="V442" s="237"/>
      <c r="W442" s="237"/>
      <c r="X442" s="237"/>
      <c r="Y442" s="237"/>
      <c r="Z442" s="237"/>
      <c r="AA442" s="237"/>
      <c r="AB442" s="237"/>
      <c r="AC442" s="237"/>
      <c r="AD442" s="237"/>
      <c r="AE442" s="237"/>
      <c r="AF442" s="237"/>
      <c r="AG442" s="237"/>
      <c r="AH442" s="237"/>
      <c r="AI442" s="237"/>
      <c r="AJ442" s="237"/>
      <c r="AK442" s="237"/>
      <c r="AL442" s="237"/>
      <c r="AM442" s="237"/>
      <c r="AN442" s="237"/>
      <c r="AO442" s="237"/>
      <c r="AP442" s="237"/>
      <c r="AQ442" s="237"/>
      <c r="AR442" s="237"/>
      <c r="AS442" s="237"/>
      <c r="AT442" s="237"/>
      <c r="AU442" s="237"/>
      <c r="AV442" s="237"/>
      <c r="AW442" s="237"/>
      <c r="AX442" s="237"/>
      <c r="AY442" s="237"/>
      <c r="AZ442" s="237"/>
      <c r="BA442" s="237"/>
      <c r="BB442" s="237"/>
      <c r="BC442" s="237"/>
      <c r="BD442" s="237"/>
      <c r="BE442" s="237"/>
      <c r="BF442" s="237"/>
      <c r="BG442" s="237"/>
      <c r="BH442" s="237"/>
      <c r="BI442" s="237"/>
      <c r="BJ442" s="237"/>
      <c r="BK442" s="237"/>
      <c r="BL442" s="237"/>
      <c r="BM442" s="237"/>
      <c r="BN442" s="237"/>
      <c r="BO442" s="237"/>
      <c r="BP442" s="237"/>
      <c r="BQ442" s="237"/>
      <c r="BR442" s="237"/>
      <c r="BS442" s="237"/>
      <c r="BT442" s="237"/>
      <c r="BU442" s="237"/>
      <c r="BV442" s="237"/>
      <c r="BW442" s="237"/>
      <c r="BX442" s="237"/>
      <c r="BY442" s="237"/>
      <c r="BZ442" s="237"/>
      <c r="CA442" s="237"/>
      <c r="CB442" s="237"/>
      <c r="CC442" s="237"/>
      <c r="CD442" s="237"/>
      <c r="CE442" s="237"/>
      <c r="CF442" s="237"/>
      <c r="CG442" s="237"/>
      <c r="CH442" s="237"/>
      <c r="CI442" s="237"/>
      <c r="CJ442" s="237"/>
      <c r="CK442" s="237"/>
      <c r="CL442" s="237"/>
      <c r="CM442" s="237"/>
      <c r="CN442" s="237"/>
      <c r="CO442" s="237"/>
      <c r="CP442" s="237"/>
      <c r="CQ442" s="237"/>
      <c r="CR442" s="237"/>
      <c r="CS442" s="237"/>
      <c r="CT442" s="237"/>
      <c r="CU442" s="237"/>
      <c r="CV442" s="237"/>
      <c r="CW442" s="237"/>
      <c r="CX442" s="237"/>
      <c r="CY442" s="237"/>
      <c r="CZ442" s="237"/>
      <c r="DA442" s="237"/>
      <c r="DB442" s="237"/>
      <c r="DC442" s="237"/>
      <c r="DD442" s="237"/>
      <c r="DE442" s="237"/>
      <c r="DF442" s="237"/>
      <c r="DG442" s="237"/>
      <c r="DH442" s="237"/>
      <c r="DI442" s="237"/>
      <c r="DJ442" s="237"/>
      <c r="DK442" s="237"/>
      <c r="DL442" s="237"/>
      <c r="DM442" s="237"/>
      <c r="DN442" s="237"/>
      <c r="DO442" s="237"/>
      <c r="DP442" s="237"/>
      <c r="DQ442" s="237"/>
      <c r="DR442" s="237"/>
      <c r="DS442" s="237"/>
      <c r="DT442" s="237"/>
      <c r="DU442" s="237"/>
      <c r="DV442" s="237"/>
      <c r="DW442" s="237"/>
      <c r="DX442" s="237"/>
      <c r="DY442" s="237"/>
      <c r="DZ442" s="237"/>
      <c r="EA442" s="237"/>
      <c r="EB442" s="237"/>
      <c r="EC442" s="237"/>
      <c r="ED442" s="237"/>
      <c r="EE442" s="237"/>
      <c r="EF442" s="237"/>
      <c r="EG442" s="237"/>
      <c r="EH442" s="237"/>
      <c r="EI442" s="237"/>
      <c r="EJ442" s="237"/>
      <c r="EK442" s="237"/>
      <c r="EL442" s="237"/>
      <c r="EM442" s="237"/>
      <c r="EN442" s="237"/>
      <c r="EO442" s="237"/>
      <c r="EP442" s="237"/>
      <c r="EQ442" s="237"/>
      <c r="ER442" s="237"/>
      <c r="ES442" s="237"/>
      <c r="ET442" s="237"/>
      <c r="EU442" s="237"/>
      <c r="EV442" s="237"/>
      <c r="EW442" s="237"/>
      <c r="EX442" s="237"/>
      <c r="EY442" s="237"/>
      <c r="EZ442" s="237"/>
      <c r="FA442" s="237"/>
      <c r="FB442" s="237"/>
      <c r="FC442" s="237"/>
      <c r="FD442" s="237"/>
      <c r="FE442" s="237"/>
      <c r="FF442" s="237"/>
      <c r="FG442" s="237"/>
      <c r="FH442" s="237"/>
      <c r="FI442" s="237"/>
      <c r="FJ442" s="237"/>
      <c r="FK442" s="237"/>
      <c r="FL442" s="237"/>
      <c r="FM442" s="237"/>
      <c r="FN442" s="237"/>
      <c r="FO442" s="237"/>
      <c r="FP442" s="237"/>
      <c r="FQ442" s="237"/>
      <c r="FR442" s="237"/>
      <c r="FS442" s="237"/>
      <c r="FT442" s="237"/>
      <c r="FU442" s="237"/>
      <c r="FV442" s="237"/>
      <c r="FW442" s="237"/>
      <c r="FX442" s="237"/>
      <c r="FY442" s="237"/>
      <c r="FZ442" s="237"/>
      <c r="GA442" s="237"/>
      <c r="GB442" s="237"/>
      <c r="GC442" s="237"/>
      <c r="GD442" s="237"/>
      <c r="GE442" s="237"/>
      <c r="GF442" s="237"/>
      <c r="GG442" s="237"/>
    </row>
    <row r="443" spans="1:189" s="236" customFormat="1" x14ac:dyDescent="0.25">
      <c r="A443" s="274" t="s">
        <v>205</v>
      </c>
      <c r="B443" s="237"/>
      <c r="C443" s="237"/>
      <c r="D443" s="237"/>
      <c r="E443" s="237"/>
      <c r="F443" s="237"/>
      <c r="G443" s="237"/>
      <c r="H443" s="237"/>
      <c r="I443" s="237"/>
      <c r="J443" s="237"/>
      <c r="K443" s="237"/>
      <c r="L443" s="237"/>
      <c r="M443" s="237"/>
      <c r="N443" s="237"/>
      <c r="O443" s="237"/>
      <c r="P443" s="237"/>
      <c r="Q443" s="237"/>
      <c r="R443" s="237"/>
      <c r="S443" s="237"/>
      <c r="T443" s="237"/>
      <c r="U443" s="237"/>
      <c r="V443" s="237"/>
      <c r="W443" s="237"/>
      <c r="X443" s="237"/>
      <c r="Y443" s="237"/>
      <c r="Z443" s="237"/>
      <c r="AA443" s="237"/>
      <c r="AB443" s="237"/>
      <c r="AC443" s="237"/>
      <c r="AD443" s="237"/>
      <c r="AE443" s="237"/>
      <c r="AF443" s="237"/>
      <c r="AG443" s="237"/>
      <c r="AH443" s="237"/>
      <c r="AI443" s="237"/>
      <c r="AJ443" s="237"/>
      <c r="AK443" s="237"/>
      <c r="AL443" s="237"/>
      <c r="AM443" s="237"/>
      <c r="AN443" s="237"/>
      <c r="AO443" s="237"/>
      <c r="AP443" s="237"/>
      <c r="AQ443" s="237"/>
      <c r="AR443" s="237"/>
      <c r="AS443" s="237"/>
      <c r="AT443" s="237"/>
      <c r="AU443" s="237"/>
      <c r="AV443" s="237"/>
      <c r="AW443" s="237"/>
      <c r="AX443" s="237"/>
      <c r="AY443" s="237"/>
      <c r="AZ443" s="237"/>
      <c r="BA443" s="237"/>
      <c r="BB443" s="237"/>
      <c r="BC443" s="237"/>
      <c r="BD443" s="237"/>
      <c r="BE443" s="237"/>
      <c r="BF443" s="237"/>
      <c r="BG443" s="237"/>
      <c r="BH443" s="237"/>
      <c r="BI443" s="237"/>
      <c r="BJ443" s="237"/>
      <c r="BK443" s="237"/>
      <c r="BL443" s="237"/>
      <c r="BM443" s="237"/>
      <c r="BN443" s="237"/>
      <c r="BO443" s="237"/>
      <c r="BP443" s="237"/>
      <c r="BQ443" s="237"/>
      <c r="BR443" s="237"/>
      <c r="BS443" s="237"/>
      <c r="BT443" s="237"/>
      <c r="BU443" s="237"/>
      <c r="BV443" s="237"/>
      <c r="BW443" s="237"/>
      <c r="BX443" s="237"/>
      <c r="BY443" s="237"/>
      <c r="BZ443" s="237"/>
      <c r="CA443" s="237"/>
      <c r="CB443" s="237"/>
      <c r="CC443" s="237"/>
      <c r="CD443" s="237"/>
      <c r="CE443" s="237"/>
      <c r="CF443" s="237"/>
      <c r="CG443" s="237"/>
      <c r="CH443" s="237"/>
      <c r="CI443" s="237"/>
      <c r="CJ443" s="237"/>
      <c r="CK443" s="237"/>
      <c r="CL443" s="237"/>
      <c r="CM443" s="237"/>
      <c r="CN443" s="237"/>
      <c r="CO443" s="237"/>
      <c r="CP443" s="237"/>
      <c r="CQ443" s="237"/>
      <c r="CR443" s="237"/>
      <c r="CS443" s="237"/>
      <c r="CT443" s="237"/>
      <c r="CU443" s="237"/>
      <c r="CV443" s="237"/>
      <c r="CW443" s="237"/>
      <c r="CX443" s="237"/>
      <c r="CY443" s="237"/>
      <c r="CZ443" s="237"/>
      <c r="DA443" s="237"/>
      <c r="DB443" s="237"/>
      <c r="DC443" s="237"/>
      <c r="DD443" s="237"/>
      <c r="DE443" s="237"/>
      <c r="DF443" s="237"/>
      <c r="DG443" s="237"/>
      <c r="DH443" s="237"/>
      <c r="DI443" s="237"/>
      <c r="DJ443" s="237"/>
      <c r="DK443" s="237"/>
      <c r="DL443" s="237"/>
      <c r="DM443" s="237"/>
      <c r="DN443" s="237"/>
      <c r="DO443" s="237"/>
      <c r="DP443" s="237"/>
      <c r="DQ443" s="237"/>
      <c r="DR443" s="237"/>
      <c r="DS443" s="237"/>
      <c r="DT443" s="237"/>
      <c r="DU443" s="237"/>
      <c r="DV443" s="237"/>
      <c r="DW443" s="237"/>
      <c r="DX443" s="237"/>
      <c r="DY443" s="237"/>
      <c r="DZ443" s="237"/>
      <c r="EA443" s="237"/>
      <c r="EB443" s="237"/>
      <c r="EC443" s="237"/>
      <c r="ED443" s="237"/>
      <c r="EE443" s="237"/>
      <c r="EF443" s="237"/>
      <c r="EG443" s="237"/>
      <c r="EH443" s="237"/>
      <c r="EI443" s="237"/>
      <c r="EJ443" s="237"/>
      <c r="EK443" s="237"/>
      <c r="EL443" s="237"/>
      <c r="EM443" s="237"/>
      <c r="EN443" s="237"/>
      <c r="EO443" s="237"/>
      <c r="EP443" s="237"/>
      <c r="EQ443" s="237"/>
      <c r="ER443" s="237"/>
      <c r="ES443" s="237"/>
      <c r="ET443" s="237"/>
      <c r="EU443" s="237"/>
      <c r="EV443" s="237"/>
      <c r="EW443" s="237"/>
      <c r="EX443" s="237"/>
      <c r="EY443" s="237"/>
      <c r="EZ443" s="237"/>
      <c r="FA443" s="237"/>
      <c r="FB443" s="237"/>
      <c r="FC443" s="237"/>
      <c r="FD443" s="237"/>
      <c r="FE443" s="237"/>
      <c r="FF443" s="237"/>
      <c r="FG443" s="237"/>
      <c r="FH443" s="237"/>
      <c r="FI443" s="237"/>
      <c r="FJ443" s="237"/>
      <c r="FK443" s="237"/>
      <c r="FL443" s="237"/>
      <c r="FM443" s="237"/>
      <c r="FN443" s="237"/>
      <c r="FO443" s="237"/>
      <c r="FP443" s="237"/>
      <c r="FQ443" s="237"/>
      <c r="FR443" s="237"/>
      <c r="FS443" s="237"/>
      <c r="FT443" s="237"/>
      <c r="FU443" s="237"/>
      <c r="FV443" s="237"/>
      <c r="FW443" s="237"/>
      <c r="FX443" s="237"/>
      <c r="FY443" s="237"/>
      <c r="FZ443" s="237"/>
      <c r="GA443" s="237"/>
      <c r="GB443" s="237"/>
      <c r="GC443" s="237"/>
      <c r="GD443" s="237"/>
      <c r="GE443" s="237"/>
      <c r="GF443" s="237"/>
      <c r="GG443" s="237"/>
    </row>
    <row r="444" spans="1:189" s="236" customFormat="1" x14ac:dyDescent="0.25">
      <c r="A444" s="274" t="s">
        <v>206</v>
      </c>
      <c r="B444" s="237"/>
      <c r="C444" s="237"/>
      <c r="D444" s="237"/>
      <c r="E444" s="237"/>
      <c r="F444" s="237"/>
      <c r="G444" s="237"/>
      <c r="H444" s="237"/>
      <c r="I444" s="237"/>
      <c r="J444" s="237"/>
      <c r="K444" s="237"/>
      <c r="L444" s="237"/>
      <c r="M444" s="237"/>
      <c r="N444" s="237"/>
      <c r="O444" s="237"/>
      <c r="P444" s="237"/>
      <c r="Q444" s="237"/>
      <c r="R444" s="237"/>
      <c r="S444" s="237"/>
      <c r="T444" s="237"/>
      <c r="U444" s="237"/>
      <c r="V444" s="237"/>
      <c r="W444" s="237"/>
      <c r="X444" s="237"/>
      <c r="Y444" s="237"/>
      <c r="Z444" s="237"/>
      <c r="AA444" s="237"/>
      <c r="AB444" s="237"/>
      <c r="AC444" s="237"/>
      <c r="AD444" s="237"/>
      <c r="AE444" s="237"/>
      <c r="AF444" s="237"/>
      <c r="AG444" s="237"/>
      <c r="AH444" s="237"/>
      <c r="AI444" s="237"/>
      <c r="AJ444" s="237"/>
      <c r="AK444" s="237"/>
      <c r="AL444" s="237"/>
      <c r="AM444" s="237"/>
      <c r="AN444" s="237"/>
      <c r="AO444" s="237"/>
      <c r="AP444" s="237"/>
      <c r="AQ444" s="237"/>
      <c r="AR444" s="237"/>
      <c r="AS444" s="237"/>
      <c r="AT444" s="237"/>
      <c r="AU444" s="237"/>
      <c r="AV444" s="237"/>
      <c r="AW444" s="237"/>
      <c r="AX444" s="237"/>
      <c r="AY444" s="237"/>
      <c r="AZ444" s="237"/>
      <c r="BA444" s="237"/>
      <c r="BB444" s="237"/>
      <c r="BC444" s="237"/>
      <c r="BD444" s="237"/>
      <c r="BE444" s="237"/>
      <c r="BF444" s="237"/>
      <c r="BG444" s="237"/>
      <c r="BH444" s="237"/>
      <c r="BI444" s="237"/>
      <c r="BJ444" s="237"/>
      <c r="BK444" s="237"/>
      <c r="BL444" s="237"/>
      <c r="BM444" s="237"/>
      <c r="BN444" s="237"/>
      <c r="BO444" s="237"/>
      <c r="BP444" s="237"/>
      <c r="BQ444" s="237"/>
      <c r="BR444" s="237"/>
      <c r="BS444" s="237"/>
      <c r="BT444" s="237"/>
      <c r="BU444" s="237"/>
      <c r="BV444" s="237"/>
      <c r="BW444" s="237"/>
      <c r="BX444" s="237"/>
      <c r="BY444" s="237"/>
      <c r="BZ444" s="237"/>
      <c r="CA444" s="237"/>
      <c r="CB444" s="237"/>
      <c r="CC444" s="237"/>
      <c r="CD444" s="237"/>
      <c r="CE444" s="237"/>
      <c r="CF444" s="237"/>
      <c r="CG444" s="237"/>
      <c r="CH444" s="237"/>
      <c r="CI444" s="237"/>
      <c r="CJ444" s="237"/>
      <c r="CK444" s="237"/>
      <c r="CL444" s="237"/>
      <c r="CM444" s="237"/>
      <c r="CN444" s="237"/>
      <c r="CO444" s="237"/>
      <c r="CP444" s="237"/>
      <c r="CQ444" s="237"/>
      <c r="CR444" s="237"/>
      <c r="CS444" s="237"/>
      <c r="CT444" s="237"/>
      <c r="CU444" s="237"/>
      <c r="CV444" s="237"/>
      <c r="CW444" s="237"/>
      <c r="CX444" s="237"/>
      <c r="CY444" s="237"/>
      <c r="CZ444" s="237"/>
      <c r="DA444" s="237"/>
      <c r="DB444" s="237"/>
      <c r="DC444" s="237"/>
      <c r="DD444" s="237"/>
      <c r="DE444" s="237"/>
      <c r="DF444" s="237"/>
      <c r="DG444" s="237"/>
      <c r="DH444" s="237"/>
      <c r="DI444" s="237"/>
      <c r="DJ444" s="237"/>
      <c r="DK444" s="237"/>
      <c r="DL444" s="237"/>
      <c r="DM444" s="237"/>
      <c r="DN444" s="237"/>
      <c r="DO444" s="237"/>
      <c r="DP444" s="237"/>
      <c r="DQ444" s="237"/>
      <c r="DR444" s="237"/>
      <c r="DS444" s="237"/>
      <c r="DT444" s="237"/>
      <c r="DU444" s="237"/>
      <c r="DV444" s="237"/>
      <c r="DW444" s="237"/>
      <c r="DX444" s="237"/>
      <c r="DY444" s="237"/>
      <c r="DZ444" s="237"/>
      <c r="EA444" s="237"/>
      <c r="EB444" s="237"/>
      <c r="EC444" s="237"/>
      <c r="ED444" s="237"/>
      <c r="EE444" s="237"/>
      <c r="EF444" s="237"/>
      <c r="EG444" s="237"/>
      <c r="EH444" s="237"/>
      <c r="EI444" s="237"/>
      <c r="EJ444" s="237"/>
      <c r="EK444" s="237"/>
      <c r="EL444" s="237"/>
      <c r="EM444" s="237"/>
      <c r="EN444" s="237"/>
      <c r="EO444" s="237"/>
      <c r="EP444" s="237"/>
      <c r="EQ444" s="237"/>
      <c r="ER444" s="237"/>
      <c r="ES444" s="237"/>
      <c r="ET444" s="237"/>
      <c r="EU444" s="237"/>
      <c r="EV444" s="237"/>
      <c r="EW444" s="237"/>
      <c r="EX444" s="237"/>
      <c r="EY444" s="237"/>
      <c r="EZ444" s="237"/>
      <c r="FA444" s="237"/>
      <c r="FB444" s="237"/>
      <c r="FC444" s="237"/>
      <c r="FD444" s="237"/>
      <c r="FE444" s="237"/>
      <c r="FF444" s="237"/>
      <c r="FG444" s="237"/>
      <c r="FH444" s="237"/>
      <c r="FI444" s="237"/>
      <c r="FJ444" s="237"/>
      <c r="FK444" s="237"/>
      <c r="FL444" s="237"/>
      <c r="FM444" s="237"/>
      <c r="FN444" s="237"/>
      <c r="FO444" s="237"/>
      <c r="FP444" s="237"/>
      <c r="FQ444" s="237"/>
      <c r="FR444" s="237"/>
      <c r="FS444" s="237"/>
      <c r="FT444" s="237"/>
      <c r="FU444" s="237"/>
      <c r="FV444" s="237"/>
      <c r="FW444" s="237"/>
      <c r="FX444" s="237"/>
      <c r="FY444" s="237"/>
      <c r="FZ444" s="237"/>
      <c r="GA444" s="237"/>
      <c r="GB444" s="237"/>
      <c r="GC444" s="237"/>
      <c r="GD444" s="237"/>
      <c r="GE444" s="237"/>
      <c r="GF444" s="237"/>
      <c r="GG444" s="237"/>
    </row>
  </sheetData>
  <autoFilter ref="A1:GG445"/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1"/>
  <sheetViews>
    <sheetView zoomScaleNormal="100" zoomScaleSheetLayoutView="100" workbookViewId="0">
      <selection activeCell="A43" sqref="A1:XFD1048576"/>
    </sheetView>
  </sheetViews>
  <sheetFormatPr defaultRowHeight="15.75" x14ac:dyDescent="0.25"/>
  <cols>
    <col min="1" max="1" width="3.85546875" style="292" customWidth="1"/>
    <col min="2" max="2" width="58" style="286" customWidth="1"/>
    <col min="3" max="3" width="11" style="309" customWidth="1"/>
    <col min="4" max="4" width="11.5703125" style="309" customWidth="1"/>
    <col min="5" max="5" width="11" style="309" customWidth="1"/>
    <col min="6" max="6" width="11.5703125" style="309" customWidth="1"/>
    <col min="7" max="216" width="9.140625" style="286"/>
    <col min="217" max="217" width="5.140625" style="286" customWidth="1"/>
    <col min="218" max="218" width="63.85546875" style="286" customWidth="1"/>
    <col min="219" max="220" width="0" style="286" hidden="1" customWidth="1"/>
    <col min="221" max="221" width="11" style="286" customWidth="1"/>
    <col min="222" max="222" width="11.5703125" style="286" customWidth="1"/>
    <col min="223" max="223" width="11" style="286" customWidth="1"/>
    <col min="224" max="224" width="11.5703125" style="286" customWidth="1"/>
    <col min="225" max="472" width="9.140625" style="286"/>
    <col min="473" max="473" width="5.140625" style="286" customWidth="1"/>
    <col min="474" max="474" width="63.85546875" style="286" customWidth="1"/>
    <col min="475" max="476" width="0" style="286" hidden="1" customWidth="1"/>
    <col min="477" max="477" width="11" style="286" customWidth="1"/>
    <col min="478" max="478" width="11.5703125" style="286" customWidth="1"/>
    <col min="479" max="479" width="11" style="286" customWidth="1"/>
    <col min="480" max="480" width="11.5703125" style="286" customWidth="1"/>
    <col min="481" max="728" width="9.140625" style="286"/>
    <col min="729" max="729" width="5.140625" style="286" customWidth="1"/>
    <col min="730" max="730" width="63.85546875" style="286" customWidth="1"/>
    <col min="731" max="732" width="0" style="286" hidden="1" customWidth="1"/>
    <col min="733" max="733" width="11" style="286" customWidth="1"/>
    <col min="734" max="734" width="11.5703125" style="286" customWidth="1"/>
    <col min="735" max="735" width="11" style="286" customWidth="1"/>
    <col min="736" max="736" width="11.5703125" style="286" customWidth="1"/>
    <col min="737" max="984" width="9.140625" style="286"/>
    <col min="985" max="985" width="5.140625" style="286" customWidth="1"/>
    <col min="986" max="986" width="63.85546875" style="286" customWidth="1"/>
    <col min="987" max="988" width="0" style="286" hidden="1" customWidth="1"/>
    <col min="989" max="989" width="11" style="286" customWidth="1"/>
    <col min="990" max="990" width="11.5703125" style="286" customWidth="1"/>
    <col min="991" max="991" width="11" style="286" customWidth="1"/>
    <col min="992" max="992" width="11.5703125" style="286" customWidth="1"/>
    <col min="993" max="1240" width="9.140625" style="286"/>
    <col min="1241" max="1241" width="5.140625" style="286" customWidth="1"/>
    <col min="1242" max="1242" width="63.85546875" style="286" customWidth="1"/>
    <col min="1243" max="1244" width="0" style="286" hidden="1" customWidth="1"/>
    <col min="1245" max="1245" width="11" style="286" customWidth="1"/>
    <col min="1246" max="1246" width="11.5703125" style="286" customWidth="1"/>
    <col min="1247" max="1247" width="11" style="286" customWidth="1"/>
    <col min="1248" max="1248" width="11.5703125" style="286" customWidth="1"/>
    <col min="1249" max="1496" width="9.140625" style="286"/>
    <col min="1497" max="1497" width="5.140625" style="286" customWidth="1"/>
    <col min="1498" max="1498" width="63.85546875" style="286" customWidth="1"/>
    <col min="1499" max="1500" width="0" style="286" hidden="1" customWidth="1"/>
    <col min="1501" max="1501" width="11" style="286" customWidth="1"/>
    <col min="1502" max="1502" width="11.5703125" style="286" customWidth="1"/>
    <col min="1503" max="1503" width="11" style="286" customWidth="1"/>
    <col min="1504" max="1504" width="11.5703125" style="286" customWidth="1"/>
    <col min="1505" max="1752" width="9.140625" style="286"/>
    <col min="1753" max="1753" width="5.140625" style="286" customWidth="1"/>
    <col min="1754" max="1754" width="63.85546875" style="286" customWidth="1"/>
    <col min="1755" max="1756" width="0" style="286" hidden="1" customWidth="1"/>
    <col min="1757" max="1757" width="11" style="286" customWidth="1"/>
    <col min="1758" max="1758" width="11.5703125" style="286" customWidth="1"/>
    <col min="1759" max="1759" width="11" style="286" customWidth="1"/>
    <col min="1760" max="1760" width="11.5703125" style="286" customWidth="1"/>
    <col min="1761" max="2008" width="9.140625" style="286"/>
    <col min="2009" max="2009" width="5.140625" style="286" customWidth="1"/>
    <col min="2010" max="2010" width="63.85546875" style="286" customWidth="1"/>
    <col min="2011" max="2012" width="0" style="286" hidden="1" customWidth="1"/>
    <col min="2013" max="2013" width="11" style="286" customWidth="1"/>
    <col min="2014" max="2014" width="11.5703125" style="286" customWidth="1"/>
    <col min="2015" max="2015" width="11" style="286" customWidth="1"/>
    <col min="2016" max="2016" width="11.5703125" style="286" customWidth="1"/>
    <col min="2017" max="2264" width="9.140625" style="286"/>
    <col min="2265" max="2265" width="5.140625" style="286" customWidth="1"/>
    <col min="2266" max="2266" width="63.85546875" style="286" customWidth="1"/>
    <col min="2267" max="2268" width="0" style="286" hidden="1" customWidth="1"/>
    <col min="2269" max="2269" width="11" style="286" customWidth="1"/>
    <col min="2270" max="2270" width="11.5703125" style="286" customWidth="1"/>
    <col min="2271" max="2271" width="11" style="286" customWidth="1"/>
    <col min="2272" max="2272" width="11.5703125" style="286" customWidth="1"/>
    <col min="2273" max="2520" width="9.140625" style="286"/>
    <col min="2521" max="2521" width="5.140625" style="286" customWidth="1"/>
    <col min="2522" max="2522" width="63.85546875" style="286" customWidth="1"/>
    <col min="2523" max="2524" width="0" style="286" hidden="1" customWidth="1"/>
    <col min="2525" max="2525" width="11" style="286" customWidth="1"/>
    <col min="2526" max="2526" width="11.5703125" style="286" customWidth="1"/>
    <col min="2527" max="2527" width="11" style="286" customWidth="1"/>
    <col min="2528" max="2528" width="11.5703125" style="286" customWidth="1"/>
    <col min="2529" max="2776" width="9.140625" style="286"/>
    <col min="2777" max="2777" width="5.140625" style="286" customWidth="1"/>
    <col min="2778" max="2778" width="63.85546875" style="286" customWidth="1"/>
    <col min="2779" max="2780" width="0" style="286" hidden="1" customWidth="1"/>
    <col min="2781" max="2781" width="11" style="286" customWidth="1"/>
    <col min="2782" max="2782" width="11.5703125" style="286" customWidth="1"/>
    <col min="2783" max="2783" width="11" style="286" customWidth="1"/>
    <col min="2784" max="2784" width="11.5703125" style="286" customWidth="1"/>
    <col min="2785" max="3032" width="9.140625" style="286"/>
    <col min="3033" max="3033" width="5.140625" style="286" customWidth="1"/>
    <col min="3034" max="3034" width="63.85546875" style="286" customWidth="1"/>
    <col min="3035" max="3036" width="0" style="286" hidden="1" customWidth="1"/>
    <col min="3037" max="3037" width="11" style="286" customWidth="1"/>
    <col min="3038" max="3038" width="11.5703125" style="286" customWidth="1"/>
    <col min="3039" max="3039" width="11" style="286" customWidth="1"/>
    <col min="3040" max="3040" width="11.5703125" style="286" customWidth="1"/>
    <col min="3041" max="3288" width="9.140625" style="286"/>
    <col min="3289" max="3289" width="5.140625" style="286" customWidth="1"/>
    <col min="3290" max="3290" width="63.85546875" style="286" customWidth="1"/>
    <col min="3291" max="3292" width="0" style="286" hidden="1" customWidth="1"/>
    <col min="3293" max="3293" width="11" style="286" customWidth="1"/>
    <col min="3294" max="3294" width="11.5703125" style="286" customWidth="1"/>
    <col min="3295" max="3295" width="11" style="286" customWidth="1"/>
    <col min="3296" max="3296" width="11.5703125" style="286" customWidth="1"/>
    <col min="3297" max="3544" width="9.140625" style="286"/>
    <col min="3545" max="3545" width="5.140625" style="286" customWidth="1"/>
    <col min="3546" max="3546" width="63.85546875" style="286" customWidth="1"/>
    <col min="3547" max="3548" width="0" style="286" hidden="1" customWidth="1"/>
    <col min="3549" max="3549" width="11" style="286" customWidth="1"/>
    <col min="3550" max="3550" width="11.5703125" style="286" customWidth="1"/>
    <col min="3551" max="3551" width="11" style="286" customWidth="1"/>
    <col min="3552" max="3552" width="11.5703125" style="286" customWidth="1"/>
    <col min="3553" max="3800" width="9.140625" style="286"/>
    <col min="3801" max="3801" width="5.140625" style="286" customWidth="1"/>
    <col min="3802" max="3802" width="63.85546875" style="286" customWidth="1"/>
    <col min="3803" max="3804" width="0" style="286" hidden="1" customWidth="1"/>
    <col min="3805" max="3805" width="11" style="286" customWidth="1"/>
    <col min="3806" max="3806" width="11.5703125" style="286" customWidth="1"/>
    <col min="3807" max="3807" width="11" style="286" customWidth="1"/>
    <col min="3808" max="3808" width="11.5703125" style="286" customWidth="1"/>
    <col min="3809" max="4056" width="9.140625" style="286"/>
    <col min="4057" max="4057" width="5.140625" style="286" customWidth="1"/>
    <col min="4058" max="4058" width="63.85546875" style="286" customWidth="1"/>
    <col min="4059" max="4060" width="0" style="286" hidden="1" customWidth="1"/>
    <col min="4061" max="4061" width="11" style="286" customWidth="1"/>
    <col min="4062" max="4062" width="11.5703125" style="286" customWidth="1"/>
    <col min="4063" max="4063" width="11" style="286" customWidth="1"/>
    <col min="4064" max="4064" width="11.5703125" style="286" customWidth="1"/>
    <col min="4065" max="4312" width="9.140625" style="286"/>
    <col min="4313" max="4313" width="5.140625" style="286" customWidth="1"/>
    <col min="4314" max="4314" width="63.85546875" style="286" customWidth="1"/>
    <col min="4315" max="4316" width="0" style="286" hidden="1" customWidth="1"/>
    <col min="4317" max="4317" width="11" style="286" customWidth="1"/>
    <col min="4318" max="4318" width="11.5703125" style="286" customWidth="1"/>
    <col min="4319" max="4319" width="11" style="286" customWidth="1"/>
    <col min="4320" max="4320" width="11.5703125" style="286" customWidth="1"/>
    <col min="4321" max="4568" width="9.140625" style="286"/>
    <col min="4569" max="4569" width="5.140625" style="286" customWidth="1"/>
    <col min="4570" max="4570" width="63.85546875" style="286" customWidth="1"/>
    <col min="4571" max="4572" width="0" style="286" hidden="1" customWidth="1"/>
    <col min="4573" max="4573" width="11" style="286" customWidth="1"/>
    <col min="4574" max="4574" width="11.5703125" style="286" customWidth="1"/>
    <col min="4575" max="4575" width="11" style="286" customWidth="1"/>
    <col min="4576" max="4576" width="11.5703125" style="286" customWidth="1"/>
    <col min="4577" max="4824" width="9.140625" style="286"/>
    <col min="4825" max="4825" width="5.140625" style="286" customWidth="1"/>
    <col min="4826" max="4826" width="63.85546875" style="286" customWidth="1"/>
    <col min="4827" max="4828" width="0" style="286" hidden="1" customWidth="1"/>
    <col min="4829" max="4829" width="11" style="286" customWidth="1"/>
    <col min="4830" max="4830" width="11.5703125" style="286" customWidth="1"/>
    <col min="4831" max="4831" width="11" style="286" customWidth="1"/>
    <col min="4832" max="4832" width="11.5703125" style="286" customWidth="1"/>
    <col min="4833" max="5080" width="9.140625" style="286"/>
    <col min="5081" max="5081" width="5.140625" style="286" customWidth="1"/>
    <col min="5082" max="5082" width="63.85546875" style="286" customWidth="1"/>
    <col min="5083" max="5084" width="0" style="286" hidden="1" customWidth="1"/>
    <col min="5085" max="5085" width="11" style="286" customWidth="1"/>
    <col min="5086" max="5086" width="11.5703125" style="286" customWidth="1"/>
    <col min="5087" max="5087" width="11" style="286" customWidth="1"/>
    <col min="5088" max="5088" width="11.5703125" style="286" customWidth="1"/>
    <col min="5089" max="5336" width="9.140625" style="286"/>
    <col min="5337" max="5337" width="5.140625" style="286" customWidth="1"/>
    <col min="5338" max="5338" width="63.85546875" style="286" customWidth="1"/>
    <col min="5339" max="5340" width="0" style="286" hidden="1" customWidth="1"/>
    <col min="5341" max="5341" width="11" style="286" customWidth="1"/>
    <col min="5342" max="5342" width="11.5703125" style="286" customWidth="1"/>
    <col min="5343" max="5343" width="11" style="286" customWidth="1"/>
    <col min="5344" max="5344" width="11.5703125" style="286" customWidth="1"/>
    <col min="5345" max="5592" width="9.140625" style="286"/>
    <col min="5593" max="5593" width="5.140625" style="286" customWidth="1"/>
    <col min="5594" max="5594" width="63.85546875" style="286" customWidth="1"/>
    <col min="5595" max="5596" width="0" style="286" hidden="1" customWidth="1"/>
    <col min="5597" max="5597" width="11" style="286" customWidth="1"/>
    <col min="5598" max="5598" width="11.5703125" style="286" customWidth="1"/>
    <col min="5599" max="5599" width="11" style="286" customWidth="1"/>
    <col min="5600" max="5600" width="11.5703125" style="286" customWidth="1"/>
    <col min="5601" max="5848" width="9.140625" style="286"/>
    <col min="5849" max="5849" width="5.140625" style="286" customWidth="1"/>
    <col min="5850" max="5850" width="63.85546875" style="286" customWidth="1"/>
    <col min="5851" max="5852" width="0" style="286" hidden="1" customWidth="1"/>
    <col min="5853" max="5853" width="11" style="286" customWidth="1"/>
    <col min="5854" max="5854" width="11.5703125" style="286" customWidth="1"/>
    <col min="5855" max="5855" width="11" style="286" customWidth="1"/>
    <col min="5856" max="5856" width="11.5703125" style="286" customWidth="1"/>
    <col min="5857" max="6104" width="9.140625" style="286"/>
    <col min="6105" max="6105" width="5.140625" style="286" customWidth="1"/>
    <col min="6106" max="6106" width="63.85546875" style="286" customWidth="1"/>
    <col min="6107" max="6108" width="0" style="286" hidden="1" customWidth="1"/>
    <col min="6109" max="6109" width="11" style="286" customWidth="1"/>
    <col min="6110" max="6110" width="11.5703125" style="286" customWidth="1"/>
    <col min="6111" max="6111" width="11" style="286" customWidth="1"/>
    <col min="6112" max="6112" width="11.5703125" style="286" customWidth="1"/>
    <col min="6113" max="6360" width="9.140625" style="286"/>
    <col min="6361" max="6361" width="5.140625" style="286" customWidth="1"/>
    <col min="6362" max="6362" width="63.85546875" style="286" customWidth="1"/>
    <col min="6363" max="6364" width="0" style="286" hidden="1" customWidth="1"/>
    <col min="6365" max="6365" width="11" style="286" customWidth="1"/>
    <col min="6366" max="6366" width="11.5703125" style="286" customWidth="1"/>
    <col min="6367" max="6367" width="11" style="286" customWidth="1"/>
    <col min="6368" max="6368" width="11.5703125" style="286" customWidth="1"/>
    <col min="6369" max="6616" width="9.140625" style="286"/>
    <col min="6617" max="6617" width="5.140625" style="286" customWidth="1"/>
    <col min="6618" max="6618" width="63.85546875" style="286" customWidth="1"/>
    <col min="6619" max="6620" width="0" style="286" hidden="1" customWidth="1"/>
    <col min="6621" max="6621" width="11" style="286" customWidth="1"/>
    <col min="6622" max="6622" width="11.5703125" style="286" customWidth="1"/>
    <col min="6623" max="6623" width="11" style="286" customWidth="1"/>
    <col min="6624" max="6624" width="11.5703125" style="286" customWidth="1"/>
    <col min="6625" max="6872" width="9.140625" style="286"/>
    <col min="6873" max="6873" width="5.140625" style="286" customWidth="1"/>
    <col min="6874" max="6874" width="63.85546875" style="286" customWidth="1"/>
    <col min="6875" max="6876" width="0" style="286" hidden="1" customWidth="1"/>
    <col min="6877" max="6877" width="11" style="286" customWidth="1"/>
    <col min="6878" max="6878" width="11.5703125" style="286" customWidth="1"/>
    <col min="6879" max="6879" width="11" style="286" customWidth="1"/>
    <col min="6880" max="6880" width="11.5703125" style="286" customWidth="1"/>
    <col min="6881" max="7128" width="9.140625" style="286"/>
    <col min="7129" max="7129" width="5.140625" style="286" customWidth="1"/>
    <col min="7130" max="7130" width="63.85546875" style="286" customWidth="1"/>
    <col min="7131" max="7132" width="0" style="286" hidden="1" customWidth="1"/>
    <col min="7133" max="7133" width="11" style="286" customWidth="1"/>
    <col min="7134" max="7134" width="11.5703125" style="286" customWidth="1"/>
    <col min="7135" max="7135" width="11" style="286" customWidth="1"/>
    <col min="7136" max="7136" width="11.5703125" style="286" customWidth="1"/>
    <col min="7137" max="7384" width="9.140625" style="286"/>
    <col min="7385" max="7385" width="5.140625" style="286" customWidth="1"/>
    <col min="7386" max="7386" width="63.85546875" style="286" customWidth="1"/>
    <col min="7387" max="7388" width="0" style="286" hidden="1" customWidth="1"/>
    <col min="7389" max="7389" width="11" style="286" customWidth="1"/>
    <col min="7390" max="7390" width="11.5703125" style="286" customWidth="1"/>
    <col min="7391" max="7391" width="11" style="286" customWidth="1"/>
    <col min="7392" max="7392" width="11.5703125" style="286" customWidth="1"/>
    <col min="7393" max="7640" width="9.140625" style="286"/>
    <col min="7641" max="7641" width="5.140625" style="286" customWidth="1"/>
    <col min="7642" max="7642" width="63.85546875" style="286" customWidth="1"/>
    <col min="7643" max="7644" width="0" style="286" hidden="1" customWidth="1"/>
    <col min="7645" max="7645" width="11" style="286" customWidth="1"/>
    <col min="7646" max="7646" width="11.5703125" style="286" customWidth="1"/>
    <col min="7647" max="7647" width="11" style="286" customWidth="1"/>
    <col min="7648" max="7648" width="11.5703125" style="286" customWidth="1"/>
    <col min="7649" max="7896" width="9.140625" style="286"/>
    <col min="7897" max="7897" width="5.140625" style="286" customWidth="1"/>
    <col min="7898" max="7898" width="63.85546875" style="286" customWidth="1"/>
    <col min="7899" max="7900" width="0" style="286" hidden="1" customWidth="1"/>
    <col min="7901" max="7901" width="11" style="286" customWidth="1"/>
    <col min="7902" max="7902" width="11.5703125" style="286" customWidth="1"/>
    <col min="7903" max="7903" width="11" style="286" customWidth="1"/>
    <col min="7904" max="7904" width="11.5703125" style="286" customWidth="1"/>
    <col min="7905" max="8152" width="9.140625" style="286"/>
    <col min="8153" max="8153" width="5.140625" style="286" customWidth="1"/>
    <col min="8154" max="8154" width="63.85546875" style="286" customWidth="1"/>
    <col min="8155" max="8156" width="0" style="286" hidden="1" customWidth="1"/>
    <col min="8157" max="8157" width="11" style="286" customWidth="1"/>
    <col min="8158" max="8158" width="11.5703125" style="286" customWidth="1"/>
    <col min="8159" max="8159" width="11" style="286" customWidth="1"/>
    <col min="8160" max="8160" width="11.5703125" style="286" customWidth="1"/>
    <col min="8161" max="8408" width="9.140625" style="286"/>
    <col min="8409" max="8409" width="5.140625" style="286" customWidth="1"/>
    <col min="8410" max="8410" width="63.85546875" style="286" customWidth="1"/>
    <col min="8411" max="8412" width="0" style="286" hidden="1" customWidth="1"/>
    <col min="8413" max="8413" width="11" style="286" customWidth="1"/>
    <col min="8414" max="8414" width="11.5703125" style="286" customWidth="1"/>
    <col min="8415" max="8415" width="11" style="286" customWidth="1"/>
    <col min="8416" max="8416" width="11.5703125" style="286" customWidth="1"/>
    <col min="8417" max="8664" width="9.140625" style="286"/>
    <col min="8665" max="8665" width="5.140625" style="286" customWidth="1"/>
    <col min="8666" max="8666" width="63.85546875" style="286" customWidth="1"/>
    <col min="8667" max="8668" width="0" style="286" hidden="1" customWidth="1"/>
    <col min="8669" max="8669" width="11" style="286" customWidth="1"/>
    <col min="8670" max="8670" width="11.5703125" style="286" customWidth="1"/>
    <col min="8671" max="8671" width="11" style="286" customWidth="1"/>
    <col min="8672" max="8672" width="11.5703125" style="286" customWidth="1"/>
    <col min="8673" max="8920" width="9.140625" style="286"/>
    <col min="8921" max="8921" width="5.140625" style="286" customWidth="1"/>
    <col min="8922" max="8922" width="63.85546875" style="286" customWidth="1"/>
    <col min="8923" max="8924" width="0" style="286" hidden="1" customWidth="1"/>
    <col min="8925" max="8925" width="11" style="286" customWidth="1"/>
    <col min="8926" max="8926" width="11.5703125" style="286" customWidth="1"/>
    <col min="8927" max="8927" width="11" style="286" customWidth="1"/>
    <col min="8928" max="8928" width="11.5703125" style="286" customWidth="1"/>
    <col min="8929" max="9176" width="9.140625" style="286"/>
    <col min="9177" max="9177" width="5.140625" style="286" customWidth="1"/>
    <col min="9178" max="9178" width="63.85546875" style="286" customWidth="1"/>
    <col min="9179" max="9180" width="0" style="286" hidden="1" customWidth="1"/>
    <col min="9181" max="9181" width="11" style="286" customWidth="1"/>
    <col min="9182" max="9182" width="11.5703125" style="286" customWidth="1"/>
    <col min="9183" max="9183" width="11" style="286" customWidth="1"/>
    <col min="9184" max="9184" width="11.5703125" style="286" customWidth="1"/>
    <col min="9185" max="9432" width="9.140625" style="286"/>
    <col min="9433" max="9433" width="5.140625" style="286" customWidth="1"/>
    <col min="9434" max="9434" width="63.85546875" style="286" customWidth="1"/>
    <col min="9435" max="9436" width="0" style="286" hidden="1" customWidth="1"/>
    <col min="9437" max="9437" width="11" style="286" customWidth="1"/>
    <col min="9438" max="9438" width="11.5703125" style="286" customWidth="1"/>
    <col min="9439" max="9439" width="11" style="286" customWidth="1"/>
    <col min="9440" max="9440" width="11.5703125" style="286" customWidth="1"/>
    <col min="9441" max="9688" width="9.140625" style="286"/>
    <col min="9689" max="9689" width="5.140625" style="286" customWidth="1"/>
    <col min="9690" max="9690" width="63.85546875" style="286" customWidth="1"/>
    <col min="9691" max="9692" width="0" style="286" hidden="1" customWidth="1"/>
    <col min="9693" max="9693" width="11" style="286" customWidth="1"/>
    <col min="9694" max="9694" width="11.5703125" style="286" customWidth="1"/>
    <col min="9695" max="9695" width="11" style="286" customWidth="1"/>
    <col min="9696" max="9696" width="11.5703125" style="286" customWidth="1"/>
    <col min="9697" max="9944" width="9.140625" style="286"/>
    <col min="9945" max="9945" width="5.140625" style="286" customWidth="1"/>
    <col min="9946" max="9946" width="63.85546875" style="286" customWidth="1"/>
    <col min="9947" max="9948" width="0" style="286" hidden="1" customWidth="1"/>
    <col min="9949" max="9949" width="11" style="286" customWidth="1"/>
    <col min="9950" max="9950" width="11.5703125" style="286" customWidth="1"/>
    <col min="9951" max="9951" width="11" style="286" customWidth="1"/>
    <col min="9952" max="9952" width="11.5703125" style="286" customWidth="1"/>
    <col min="9953" max="10200" width="9.140625" style="286"/>
    <col min="10201" max="10201" width="5.140625" style="286" customWidth="1"/>
    <col min="10202" max="10202" width="63.85546875" style="286" customWidth="1"/>
    <col min="10203" max="10204" width="0" style="286" hidden="1" customWidth="1"/>
    <col min="10205" max="10205" width="11" style="286" customWidth="1"/>
    <col min="10206" max="10206" width="11.5703125" style="286" customWidth="1"/>
    <col min="10207" max="10207" width="11" style="286" customWidth="1"/>
    <col min="10208" max="10208" width="11.5703125" style="286" customWidth="1"/>
    <col min="10209" max="10456" width="9.140625" style="286"/>
    <col min="10457" max="10457" width="5.140625" style="286" customWidth="1"/>
    <col min="10458" max="10458" width="63.85546875" style="286" customWidth="1"/>
    <col min="10459" max="10460" width="0" style="286" hidden="1" customWidth="1"/>
    <col min="10461" max="10461" width="11" style="286" customWidth="1"/>
    <col min="10462" max="10462" width="11.5703125" style="286" customWidth="1"/>
    <col min="10463" max="10463" width="11" style="286" customWidth="1"/>
    <col min="10464" max="10464" width="11.5703125" style="286" customWidth="1"/>
    <col min="10465" max="10712" width="9.140625" style="286"/>
    <col min="10713" max="10713" width="5.140625" style="286" customWidth="1"/>
    <col min="10714" max="10714" width="63.85546875" style="286" customWidth="1"/>
    <col min="10715" max="10716" width="0" style="286" hidden="1" customWidth="1"/>
    <col min="10717" max="10717" width="11" style="286" customWidth="1"/>
    <col min="10718" max="10718" width="11.5703125" style="286" customWidth="1"/>
    <col min="10719" max="10719" width="11" style="286" customWidth="1"/>
    <col min="10720" max="10720" width="11.5703125" style="286" customWidth="1"/>
    <col min="10721" max="10968" width="9.140625" style="286"/>
    <col min="10969" max="10969" width="5.140625" style="286" customWidth="1"/>
    <col min="10970" max="10970" width="63.85546875" style="286" customWidth="1"/>
    <col min="10971" max="10972" width="0" style="286" hidden="1" customWidth="1"/>
    <col min="10973" max="10973" width="11" style="286" customWidth="1"/>
    <col min="10974" max="10974" width="11.5703125" style="286" customWidth="1"/>
    <col min="10975" max="10975" width="11" style="286" customWidth="1"/>
    <col min="10976" max="10976" width="11.5703125" style="286" customWidth="1"/>
    <col min="10977" max="11224" width="9.140625" style="286"/>
    <col min="11225" max="11225" width="5.140625" style="286" customWidth="1"/>
    <col min="11226" max="11226" width="63.85546875" style="286" customWidth="1"/>
    <col min="11227" max="11228" width="0" style="286" hidden="1" customWidth="1"/>
    <col min="11229" max="11229" width="11" style="286" customWidth="1"/>
    <col min="11230" max="11230" width="11.5703125" style="286" customWidth="1"/>
    <col min="11231" max="11231" width="11" style="286" customWidth="1"/>
    <col min="11232" max="11232" width="11.5703125" style="286" customWidth="1"/>
    <col min="11233" max="11480" width="9.140625" style="286"/>
    <col min="11481" max="11481" width="5.140625" style="286" customWidth="1"/>
    <col min="11482" max="11482" width="63.85546875" style="286" customWidth="1"/>
    <col min="11483" max="11484" width="0" style="286" hidden="1" customWidth="1"/>
    <col min="11485" max="11485" width="11" style="286" customWidth="1"/>
    <col min="11486" max="11486" width="11.5703125" style="286" customWidth="1"/>
    <col min="11487" max="11487" width="11" style="286" customWidth="1"/>
    <col min="11488" max="11488" width="11.5703125" style="286" customWidth="1"/>
    <col min="11489" max="11736" width="9.140625" style="286"/>
    <col min="11737" max="11737" width="5.140625" style="286" customWidth="1"/>
    <col min="11738" max="11738" width="63.85546875" style="286" customWidth="1"/>
    <col min="11739" max="11740" width="0" style="286" hidden="1" customWidth="1"/>
    <col min="11741" max="11741" width="11" style="286" customWidth="1"/>
    <col min="11742" max="11742" width="11.5703125" style="286" customWidth="1"/>
    <col min="11743" max="11743" width="11" style="286" customWidth="1"/>
    <col min="11744" max="11744" width="11.5703125" style="286" customWidth="1"/>
    <col min="11745" max="11992" width="9.140625" style="286"/>
    <col min="11993" max="11993" width="5.140625" style="286" customWidth="1"/>
    <col min="11994" max="11994" width="63.85546875" style="286" customWidth="1"/>
    <col min="11995" max="11996" width="0" style="286" hidden="1" customWidth="1"/>
    <col min="11997" max="11997" width="11" style="286" customWidth="1"/>
    <col min="11998" max="11998" width="11.5703125" style="286" customWidth="1"/>
    <col min="11999" max="11999" width="11" style="286" customWidth="1"/>
    <col min="12000" max="12000" width="11.5703125" style="286" customWidth="1"/>
    <col min="12001" max="12248" width="9.140625" style="286"/>
    <col min="12249" max="12249" width="5.140625" style="286" customWidth="1"/>
    <col min="12250" max="12250" width="63.85546875" style="286" customWidth="1"/>
    <col min="12251" max="12252" width="0" style="286" hidden="1" customWidth="1"/>
    <col min="12253" max="12253" width="11" style="286" customWidth="1"/>
    <col min="12254" max="12254" width="11.5703125" style="286" customWidth="1"/>
    <col min="12255" max="12255" width="11" style="286" customWidth="1"/>
    <col min="12256" max="12256" width="11.5703125" style="286" customWidth="1"/>
    <col min="12257" max="12504" width="9.140625" style="286"/>
    <col min="12505" max="12505" width="5.140625" style="286" customWidth="1"/>
    <col min="12506" max="12506" width="63.85546875" style="286" customWidth="1"/>
    <col min="12507" max="12508" width="0" style="286" hidden="1" customWidth="1"/>
    <col min="12509" max="12509" width="11" style="286" customWidth="1"/>
    <col min="12510" max="12510" width="11.5703125" style="286" customWidth="1"/>
    <col min="12511" max="12511" width="11" style="286" customWidth="1"/>
    <col min="12512" max="12512" width="11.5703125" style="286" customWidth="1"/>
    <col min="12513" max="12760" width="9.140625" style="286"/>
    <col min="12761" max="12761" width="5.140625" style="286" customWidth="1"/>
    <col min="12762" max="12762" width="63.85546875" style="286" customWidth="1"/>
    <col min="12763" max="12764" width="0" style="286" hidden="1" customWidth="1"/>
    <col min="12765" max="12765" width="11" style="286" customWidth="1"/>
    <col min="12766" max="12766" width="11.5703125" style="286" customWidth="1"/>
    <col min="12767" max="12767" width="11" style="286" customWidth="1"/>
    <col min="12768" max="12768" width="11.5703125" style="286" customWidth="1"/>
    <col min="12769" max="13016" width="9.140625" style="286"/>
    <col min="13017" max="13017" width="5.140625" style="286" customWidth="1"/>
    <col min="13018" max="13018" width="63.85546875" style="286" customWidth="1"/>
    <col min="13019" max="13020" width="0" style="286" hidden="1" customWidth="1"/>
    <col min="13021" max="13021" width="11" style="286" customWidth="1"/>
    <col min="13022" max="13022" width="11.5703125" style="286" customWidth="1"/>
    <col min="13023" max="13023" width="11" style="286" customWidth="1"/>
    <col min="13024" max="13024" width="11.5703125" style="286" customWidth="1"/>
    <col min="13025" max="13272" width="9.140625" style="286"/>
    <col min="13273" max="13273" width="5.140625" style="286" customWidth="1"/>
    <col min="13274" max="13274" width="63.85546875" style="286" customWidth="1"/>
    <col min="13275" max="13276" width="0" style="286" hidden="1" customWidth="1"/>
    <col min="13277" max="13277" width="11" style="286" customWidth="1"/>
    <col min="13278" max="13278" width="11.5703125" style="286" customWidth="1"/>
    <col min="13279" max="13279" width="11" style="286" customWidth="1"/>
    <col min="13280" max="13280" width="11.5703125" style="286" customWidth="1"/>
    <col min="13281" max="13528" width="9.140625" style="286"/>
    <col min="13529" max="13529" width="5.140625" style="286" customWidth="1"/>
    <col min="13530" max="13530" width="63.85546875" style="286" customWidth="1"/>
    <col min="13531" max="13532" width="0" style="286" hidden="1" customWidth="1"/>
    <col min="13533" max="13533" width="11" style="286" customWidth="1"/>
    <col min="13534" max="13534" width="11.5703125" style="286" customWidth="1"/>
    <col min="13535" max="13535" width="11" style="286" customWidth="1"/>
    <col min="13536" max="13536" width="11.5703125" style="286" customWidth="1"/>
    <col min="13537" max="13784" width="9.140625" style="286"/>
    <col min="13785" max="13785" width="5.140625" style="286" customWidth="1"/>
    <col min="13786" max="13786" width="63.85546875" style="286" customWidth="1"/>
    <col min="13787" max="13788" width="0" style="286" hidden="1" customWidth="1"/>
    <col min="13789" max="13789" width="11" style="286" customWidth="1"/>
    <col min="13790" max="13790" width="11.5703125" style="286" customWidth="1"/>
    <col min="13791" max="13791" width="11" style="286" customWidth="1"/>
    <col min="13792" max="13792" width="11.5703125" style="286" customWidth="1"/>
    <col min="13793" max="14040" width="9.140625" style="286"/>
    <col min="14041" max="14041" width="5.140625" style="286" customWidth="1"/>
    <col min="14042" max="14042" width="63.85546875" style="286" customWidth="1"/>
    <col min="14043" max="14044" width="0" style="286" hidden="1" customWidth="1"/>
    <col min="14045" max="14045" width="11" style="286" customWidth="1"/>
    <col min="14046" max="14046" width="11.5703125" style="286" customWidth="1"/>
    <col min="14047" max="14047" width="11" style="286" customWidth="1"/>
    <col min="14048" max="14048" width="11.5703125" style="286" customWidth="1"/>
    <col min="14049" max="14296" width="9.140625" style="286"/>
    <col min="14297" max="14297" width="5.140625" style="286" customWidth="1"/>
    <col min="14298" max="14298" width="63.85546875" style="286" customWidth="1"/>
    <col min="14299" max="14300" width="0" style="286" hidden="1" customWidth="1"/>
    <col min="14301" max="14301" width="11" style="286" customWidth="1"/>
    <col min="14302" max="14302" width="11.5703125" style="286" customWidth="1"/>
    <col min="14303" max="14303" width="11" style="286" customWidth="1"/>
    <col min="14304" max="14304" width="11.5703125" style="286" customWidth="1"/>
    <col min="14305" max="14552" width="9.140625" style="286"/>
    <col min="14553" max="14553" width="5.140625" style="286" customWidth="1"/>
    <col min="14554" max="14554" width="63.85546875" style="286" customWidth="1"/>
    <col min="14555" max="14556" width="0" style="286" hidden="1" customWidth="1"/>
    <col min="14557" max="14557" width="11" style="286" customWidth="1"/>
    <col min="14558" max="14558" width="11.5703125" style="286" customWidth="1"/>
    <col min="14559" max="14559" width="11" style="286" customWidth="1"/>
    <col min="14560" max="14560" width="11.5703125" style="286" customWidth="1"/>
    <col min="14561" max="14808" width="9.140625" style="286"/>
    <col min="14809" max="14809" width="5.140625" style="286" customWidth="1"/>
    <col min="14810" max="14810" width="63.85546875" style="286" customWidth="1"/>
    <col min="14811" max="14812" width="0" style="286" hidden="1" customWidth="1"/>
    <col min="14813" max="14813" width="11" style="286" customWidth="1"/>
    <col min="14814" max="14814" width="11.5703125" style="286" customWidth="1"/>
    <col min="14815" max="14815" width="11" style="286" customWidth="1"/>
    <col min="14816" max="14816" width="11.5703125" style="286" customWidth="1"/>
    <col min="14817" max="15064" width="9.140625" style="286"/>
    <col min="15065" max="15065" width="5.140625" style="286" customWidth="1"/>
    <col min="15066" max="15066" width="63.85546875" style="286" customWidth="1"/>
    <col min="15067" max="15068" width="0" style="286" hidden="1" customWidth="1"/>
    <col min="15069" max="15069" width="11" style="286" customWidth="1"/>
    <col min="15070" max="15070" width="11.5703125" style="286" customWidth="1"/>
    <col min="15071" max="15071" width="11" style="286" customWidth="1"/>
    <col min="15072" max="15072" width="11.5703125" style="286" customWidth="1"/>
    <col min="15073" max="15320" width="9.140625" style="286"/>
    <col min="15321" max="15321" width="5.140625" style="286" customWidth="1"/>
    <col min="15322" max="15322" width="63.85546875" style="286" customWidth="1"/>
    <col min="15323" max="15324" width="0" style="286" hidden="1" customWidth="1"/>
    <col min="15325" max="15325" width="11" style="286" customWidth="1"/>
    <col min="15326" max="15326" width="11.5703125" style="286" customWidth="1"/>
    <col min="15327" max="15327" width="11" style="286" customWidth="1"/>
    <col min="15328" max="15328" width="11.5703125" style="286" customWidth="1"/>
    <col min="15329" max="15576" width="9.140625" style="286"/>
    <col min="15577" max="15577" width="5.140625" style="286" customWidth="1"/>
    <col min="15578" max="15578" width="63.85546875" style="286" customWidth="1"/>
    <col min="15579" max="15580" width="0" style="286" hidden="1" customWidth="1"/>
    <col min="15581" max="15581" width="11" style="286" customWidth="1"/>
    <col min="15582" max="15582" width="11.5703125" style="286" customWidth="1"/>
    <col min="15583" max="15583" width="11" style="286" customWidth="1"/>
    <col min="15584" max="15584" width="11.5703125" style="286" customWidth="1"/>
    <col min="15585" max="15832" width="9.140625" style="286"/>
    <col min="15833" max="15833" width="5.140625" style="286" customWidth="1"/>
    <col min="15834" max="15834" width="63.85546875" style="286" customWidth="1"/>
    <col min="15835" max="15836" width="0" style="286" hidden="1" customWidth="1"/>
    <col min="15837" max="15837" width="11" style="286" customWidth="1"/>
    <col min="15838" max="15838" width="11.5703125" style="286" customWidth="1"/>
    <col min="15839" max="15839" width="11" style="286" customWidth="1"/>
    <col min="15840" max="15840" width="11.5703125" style="286" customWidth="1"/>
    <col min="15841" max="16088" width="9.140625" style="286"/>
    <col min="16089" max="16089" width="5.140625" style="286" customWidth="1"/>
    <col min="16090" max="16090" width="63.85546875" style="286" customWidth="1"/>
    <col min="16091" max="16092" width="0" style="286" hidden="1" customWidth="1"/>
    <col min="16093" max="16093" width="11" style="286" customWidth="1"/>
    <col min="16094" max="16094" width="11.5703125" style="286" customWidth="1"/>
    <col min="16095" max="16095" width="11" style="286" customWidth="1"/>
    <col min="16096" max="16096" width="11.5703125" style="286" customWidth="1"/>
    <col min="16097" max="16384" width="9.140625" style="286"/>
  </cols>
  <sheetData>
    <row r="1" spans="1:6" s="280" customFormat="1" x14ac:dyDescent="0.25">
      <c r="A1" s="279"/>
      <c r="C1" s="281"/>
      <c r="D1" s="281"/>
      <c r="F1" s="282" t="s">
        <v>311</v>
      </c>
    </row>
    <row r="2" spans="1:6" s="14" customFormat="1" x14ac:dyDescent="0.25">
      <c r="A2" s="283"/>
      <c r="B2" s="193"/>
      <c r="C2" s="193"/>
      <c r="D2" s="284"/>
      <c r="E2" s="193"/>
      <c r="F2" s="284"/>
    </row>
    <row r="3" spans="1:6" x14ac:dyDescent="0.25">
      <c r="A3" s="285" t="s">
        <v>312</v>
      </c>
      <c r="B3" s="285"/>
      <c r="C3" s="285"/>
      <c r="D3" s="285"/>
      <c r="E3" s="286"/>
      <c r="F3" s="286"/>
    </row>
    <row r="4" spans="1:6" x14ac:dyDescent="0.25">
      <c r="A4" s="287"/>
      <c r="B4" s="288"/>
      <c r="C4" s="289"/>
      <c r="D4" s="290"/>
      <c r="E4" s="289"/>
      <c r="F4" s="290"/>
    </row>
    <row r="5" spans="1:6" x14ac:dyDescent="0.25">
      <c r="A5" s="291" t="s">
        <v>646</v>
      </c>
      <c r="B5" s="291"/>
      <c r="C5" s="291"/>
      <c r="D5" s="291"/>
      <c r="E5" s="292"/>
      <c r="F5" s="292"/>
    </row>
    <row r="6" spans="1:6" x14ac:dyDescent="0.25">
      <c r="A6" s="285" t="s">
        <v>313</v>
      </c>
      <c r="B6" s="285"/>
      <c r="C6" s="285"/>
      <c r="D6" s="285"/>
      <c r="E6" s="288"/>
      <c r="F6" s="288"/>
    </row>
    <row r="7" spans="1:6" x14ac:dyDescent="0.25">
      <c r="A7" s="287"/>
      <c r="B7" s="288"/>
      <c r="C7" s="289"/>
      <c r="D7" s="289"/>
      <c r="E7" s="289"/>
      <c r="F7" s="289"/>
    </row>
    <row r="8" spans="1:6" ht="15" customHeight="1" x14ac:dyDescent="0.25">
      <c r="A8" s="287"/>
      <c r="B8" s="288"/>
      <c r="C8" s="293"/>
      <c r="D8" s="293"/>
      <c r="E8" s="293"/>
      <c r="F8" s="293"/>
    </row>
    <row r="9" spans="1:6" s="297" customFormat="1" ht="21.75" customHeight="1" x14ac:dyDescent="0.25">
      <c r="A9" s="294" t="s">
        <v>314</v>
      </c>
      <c r="B9" s="294" t="s">
        <v>315</v>
      </c>
      <c r="C9" s="295" t="s">
        <v>395</v>
      </c>
      <c r="D9" s="296"/>
      <c r="E9" s="295" t="s">
        <v>396</v>
      </c>
      <c r="F9" s="296"/>
    </row>
    <row r="10" spans="1:6" s="301" customFormat="1" ht="60" customHeight="1" x14ac:dyDescent="0.25">
      <c r="A10" s="298"/>
      <c r="B10" s="299"/>
      <c r="C10" s="300" t="s">
        <v>316</v>
      </c>
      <c r="D10" s="300" t="s">
        <v>317</v>
      </c>
      <c r="E10" s="300" t="s">
        <v>316</v>
      </c>
      <c r="F10" s="300" t="s">
        <v>317</v>
      </c>
    </row>
    <row r="11" spans="1:6" x14ac:dyDescent="0.25">
      <c r="A11" s="302"/>
      <c r="B11" s="303"/>
      <c r="C11" s="304"/>
      <c r="D11" s="304"/>
      <c r="E11" s="304"/>
      <c r="F11" s="304"/>
    </row>
    <row r="12" spans="1:6" s="301" customFormat="1" x14ac:dyDescent="0.25">
      <c r="A12" s="298"/>
      <c r="B12" s="299" t="s">
        <v>318</v>
      </c>
      <c r="C12" s="305"/>
      <c r="D12" s="305"/>
      <c r="E12" s="305"/>
      <c r="F12" s="305"/>
    </row>
    <row r="13" spans="1:6" x14ac:dyDescent="0.25">
      <c r="A13" s="302"/>
      <c r="B13" s="303"/>
      <c r="C13" s="304"/>
      <c r="D13" s="304"/>
      <c r="E13" s="304"/>
      <c r="F13" s="304"/>
    </row>
    <row r="14" spans="1:6" s="301" customFormat="1" x14ac:dyDescent="0.25">
      <c r="A14" s="298" t="s">
        <v>319</v>
      </c>
      <c r="B14" s="299" t="s">
        <v>320</v>
      </c>
      <c r="C14" s="305">
        <f>152+4</f>
        <v>156</v>
      </c>
      <c r="D14" s="305">
        <f>2552662/12</f>
        <v>212721.83333333334</v>
      </c>
      <c r="E14" s="305">
        <f>152+4</f>
        <v>156</v>
      </c>
      <c r="F14" s="305">
        <f>2552662/12</f>
        <v>212721.83333333334</v>
      </c>
    </row>
    <row r="15" spans="1:6" x14ac:dyDescent="0.25">
      <c r="A15" s="302"/>
      <c r="B15" s="303" t="s">
        <v>321</v>
      </c>
      <c r="C15" s="304"/>
      <c r="D15" s="304"/>
      <c r="E15" s="304"/>
      <c r="F15" s="304"/>
    </row>
    <row r="16" spans="1:6" x14ac:dyDescent="0.25">
      <c r="A16" s="302"/>
      <c r="B16" s="303" t="s">
        <v>322</v>
      </c>
      <c r="C16" s="304">
        <f>4</f>
        <v>4</v>
      </c>
      <c r="D16" s="304">
        <f>43600/12</f>
        <v>3633.3333333333335</v>
      </c>
      <c r="E16" s="304">
        <f>4</f>
        <v>4</v>
      </c>
      <c r="F16" s="304">
        <f>43600/12</f>
        <v>3633.3333333333335</v>
      </c>
    </row>
    <row r="17" spans="1:6" x14ac:dyDescent="0.25">
      <c r="A17" s="302"/>
      <c r="B17" s="303"/>
      <c r="C17" s="304"/>
      <c r="D17" s="304"/>
      <c r="E17" s="304"/>
      <c r="F17" s="304"/>
    </row>
    <row r="18" spans="1:6" s="301" customFormat="1" x14ac:dyDescent="0.25">
      <c r="A18" s="298" t="s">
        <v>323</v>
      </c>
      <c r="B18" s="299" t="s">
        <v>324</v>
      </c>
      <c r="C18" s="305">
        <f>1+5+6</f>
        <v>12</v>
      </c>
      <c r="D18" s="305">
        <f>133623/12</f>
        <v>11135.25</v>
      </c>
      <c r="E18" s="305">
        <f>1+5+6</f>
        <v>12</v>
      </c>
      <c r="F18" s="305">
        <f>133623/12</f>
        <v>11135.25</v>
      </c>
    </row>
    <row r="19" spans="1:6" x14ac:dyDescent="0.25">
      <c r="A19" s="302"/>
      <c r="B19" s="303" t="s">
        <v>321</v>
      </c>
      <c r="C19" s="304"/>
      <c r="D19" s="304"/>
      <c r="E19" s="304"/>
      <c r="F19" s="304"/>
    </row>
    <row r="20" spans="1:6" x14ac:dyDescent="0.25">
      <c r="A20" s="302"/>
      <c r="B20" s="303" t="s">
        <v>325</v>
      </c>
      <c r="C20" s="304">
        <v>6</v>
      </c>
      <c r="D20" s="304">
        <f>66084/12</f>
        <v>5507</v>
      </c>
      <c r="E20" s="304">
        <v>6</v>
      </c>
      <c r="F20" s="304">
        <f>66084/12</f>
        <v>5507</v>
      </c>
    </row>
    <row r="21" spans="1:6" x14ac:dyDescent="0.25">
      <c r="A21" s="302"/>
      <c r="B21" s="303"/>
      <c r="C21" s="304"/>
      <c r="D21" s="304"/>
      <c r="E21" s="304"/>
      <c r="F21" s="304"/>
    </row>
    <row r="22" spans="1:6" s="301" customFormat="1" x14ac:dyDescent="0.25">
      <c r="A22" s="298" t="s">
        <v>326</v>
      </c>
      <c r="B22" s="299" t="s">
        <v>327</v>
      </c>
      <c r="C22" s="305">
        <f>C24+C25+C26+C27</f>
        <v>236</v>
      </c>
      <c r="D22" s="305">
        <f t="shared" ref="D22" si="0">D24+D25+D26+D27</f>
        <v>279846.66666666669</v>
      </c>
      <c r="E22" s="305">
        <f>E24+E25+E26+E27</f>
        <v>236</v>
      </c>
      <c r="F22" s="305">
        <f t="shared" ref="F22" si="1">F24+F25+F26+F27</f>
        <v>279846.66666666669</v>
      </c>
    </row>
    <row r="23" spans="1:6" x14ac:dyDescent="0.25">
      <c r="A23" s="302"/>
      <c r="B23" s="303" t="s">
        <v>321</v>
      </c>
      <c r="C23" s="304"/>
      <c r="D23" s="304"/>
      <c r="E23" s="304"/>
      <c r="F23" s="304"/>
    </row>
    <row r="24" spans="1:6" x14ac:dyDescent="0.25">
      <c r="A24" s="302">
        <v>1</v>
      </c>
      <c r="B24" s="303" t="s">
        <v>328</v>
      </c>
      <c r="C24" s="304">
        <f>153+23</f>
        <v>176</v>
      </c>
      <c r="D24" s="304">
        <f>2193191/12+21615</f>
        <v>204380.91666666666</v>
      </c>
      <c r="E24" s="304">
        <f>153+23</f>
        <v>176</v>
      </c>
      <c r="F24" s="304">
        <f>2193191/12+21615</f>
        <v>204380.91666666666</v>
      </c>
    </row>
    <row r="25" spans="1:6" x14ac:dyDescent="0.25">
      <c r="A25" s="302">
        <v>2</v>
      </c>
      <c r="B25" s="303" t="s">
        <v>329</v>
      </c>
      <c r="C25" s="304">
        <f>46+5</f>
        <v>51</v>
      </c>
      <c r="D25" s="304">
        <f>788365/12</f>
        <v>65697.083333333328</v>
      </c>
      <c r="E25" s="304">
        <f>46+5</f>
        <v>51</v>
      </c>
      <c r="F25" s="304">
        <f>788365/12</f>
        <v>65697.083333333328</v>
      </c>
    </row>
    <row r="26" spans="1:6" x14ac:dyDescent="0.25">
      <c r="A26" s="302">
        <v>3</v>
      </c>
      <c r="B26" s="303" t="s">
        <v>330</v>
      </c>
      <c r="C26" s="304">
        <v>2</v>
      </c>
      <c r="D26" s="304">
        <f>16536/12</f>
        <v>1378</v>
      </c>
      <c r="E26" s="304">
        <v>2</v>
      </c>
      <c r="F26" s="304">
        <f>16536/12</f>
        <v>1378</v>
      </c>
    </row>
    <row r="27" spans="1:6" x14ac:dyDescent="0.25">
      <c r="A27" s="302">
        <v>4</v>
      </c>
      <c r="B27" s="303" t="s">
        <v>331</v>
      </c>
      <c r="C27" s="304">
        <v>7</v>
      </c>
      <c r="D27" s="304">
        <f>100688/12</f>
        <v>8390.6666666666661</v>
      </c>
      <c r="E27" s="304">
        <v>7</v>
      </c>
      <c r="F27" s="304">
        <f>100688/12</f>
        <v>8390.6666666666661</v>
      </c>
    </row>
    <row r="28" spans="1:6" x14ac:dyDescent="0.25">
      <c r="A28" s="302"/>
      <c r="B28" s="303"/>
      <c r="C28" s="304"/>
      <c r="D28" s="304"/>
      <c r="E28" s="304"/>
      <c r="F28" s="304"/>
    </row>
    <row r="29" spans="1:6" s="301" customFormat="1" x14ac:dyDescent="0.25">
      <c r="A29" s="306" t="s">
        <v>332</v>
      </c>
      <c r="B29" s="307" t="s">
        <v>333</v>
      </c>
      <c r="C29" s="308">
        <f>11+78+4.5+70+62.5+58+16.5+15+14.5+4+21</f>
        <v>355</v>
      </c>
      <c r="D29" s="308">
        <f>(120764+1007987+46092+832286+784741+605154+221786+198719+168082)/12+4290+17773</f>
        <v>354197.25</v>
      </c>
      <c r="E29" s="308">
        <f>11+78+4.5+70+62.5+58+16.5+15+14.5+4+21+11</f>
        <v>366</v>
      </c>
      <c r="F29" s="308">
        <f>(120764+1007987+46092+832286+784741+605154+221786+198719+168082)/12+4290+17773+10010</f>
        <v>364207.25</v>
      </c>
    </row>
    <row r="30" spans="1:6" ht="12" hidden="1" customHeight="1" x14ac:dyDescent="0.25">
      <c r="A30" s="302">
        <v>2</v>
      </c>
      <c r="B30" s="303" t="s">
        <v>334</v>
      </c>
      <c r="C30" s="304">
        <f>20-9-11</f>
        <v>0</v>
      </c>
      <c r="D30" s="304"/>
      <c r="E30" s="304">
        <f>20-9-11</f>
        <v>0</v>
      </c>
      <c r="F30" s="304"/>
    </row>
    <row r="31" spans="1:6" x14ac:dyDescent="0.25">
      <c r="A31" s="302"/>
      <c r="B31" s="303"/>
      <c r="C31" s="304"/>
      <c r="D31" s="304"/>
      <c r="E31" s="304"/>
      <c r="F31" s="304"/>
    </row>
    <row r="32" spans="1:6" s="301" customFormat="1" x14ac:dyDescent="0.25">
      <c r="A32" s="298" t="s">
        <v>335</v>
      </c>
      <c r="B32" s="299" t="s">
        <v>336</v>
      </c>
      <c r="C32" s="305">
        <f>127+13+50</f>
        <v>190</v>
      </c>
      <c r="D32" s="305">
        <f>(1776960+659796)/12</f>
        <v>203063</v>
      </c>
      <c r="E32" s="305">
        <f>127+13+50</f>
        <v>190</v>
      </c>
      <c r="F32" s="305">
        <f>(1776960+659796)/12</f>
        <v>203063</v>
      </c>
    </row>
    <row r="33" spans="1:6" x14ac:dyDescent="0.25">
      <c r="A33" s="302"/>
      <c r="B33" s="303"/>
      <c r="C33" s="304"/>
      <c r="D33" s="304"/>
      <c r="E33" s="304"/>
      <c r="F33" s="304"/>
    </row>
    <row r="34" spans="1:6" x14ac:dyDescent="0.25">
      <c r="A34" s="302"/>
      <c r="B34" s="303"/>
      <c r="C34" s="304"/>
      <c r="D34" s="304"/>
      <c r="E34" s="304"/>
      <c r="F34" s="304"/>
    </row>
    <row r="35" spans="1:6" s="301" customFormat="1" x14ac:dyDescent="0.25">
      <c r="A35" s="298"/>
      <c r="B35" s="299" t="s">
        <v>337</v>
      </c>
      <c r="C35" s="305"/>
      <c r="D35" s="305"/>
      <c r="E35" s="305"/>
      <c r="F35" s="305"/>
    </row>
    <row r="36" spans="1:6" s="301" customFormat="1" x14ac:dyDescent="0.25">
      <c r="A36" s="298" t="s">
        <v>319</v>
      </c>
      <c r="B36" s="299" t="s">
        <v>320</v>
      </c>
      <c r="C36" s="305">
        <f>1+4+36</f>
        <v>41</v>
      </c>
      <c r="D36" s="305">
        <f>422712/12</f>
        <v>35226</v>
      </c>
      <c r="E36" s="305">
        <f>1+4+36</f>
        <v>41</v>
      </c>
      <c r="F36" s="305">
        <f>422712/12</f>
        <v>35226</v>
      </c>
    </row>
    <row r="37" spans="1:6" x14ac:dyDescent="0.25">
      <c r="A37" s="302"/>
      <c r="B37" s="303" t="s">
        <v>397</v>
      </c>
      <c r="C37" s="304"/>
      <c r="D37" s="304"/>
      <c r="E37" s="304"/>
      <c r="F37" s="304"/>
    </row>
    <row r="38" spans="1:6" x14ac:dyDescent="0.25">
      <c r="A38" s="302"/>
      <c r="B38" s="303" t="s">
        <v>398</v>
      </c>
      <c r="C38" s="304">
        <v>37</v>
      </c>
      <c r="D38" s="304">
        <v>27500</v>
      </c>
      <c r="E38" s="304">
        <v>37</v>
      </c>
      <c r="F38" s="304">
        <v>27500</v>
      </c>
    </row>
    <row r="39" spans="1:6" x14ac:dyDescent="0.25">
      <c r="A39" s="302"/>
      <c r="B39" s="303"/>
      <c r="C39" s="304"/>
      <c r="D39" s="304"/>
      <c r="E39" s="304"/>
      <c r="F39" s="304"/>
    </row>
    <row r="40" spans="1:6" s="301" customFormat="1" x14ac:dyDescent="0.25">
      <c r="A40" s="298" t="s">
        <v>338</v>
      </c>
      <c r="B40" s="299" t="s">
        <v>339</v>
      </c>
      <c r="C40" s="305">
        <f>12+8</f>
        <v>20</v>
      </c>
      <c r="D40" s="305">
        <f>(137976+138420)/12</f>
        <v>23033</v>
      </c>
      <c r="E40" s="305">
        <f>12+8</f>
        <v>20</v>
      </c>
      <c r="F40" s="305">
        <f>(137976+138420)/12</f>
        <v>23033</v>
      </c>
    </row>
    <row r="41" spans="1:6" s="301" customFormat="1" x14ac:dyDescent="0.25">
      <c r="A41" s="298"/>
      <c r="B41" s="299"/>
      <c r="C41" s="305"/>
      <c r="D41" s="305"/>
      <c r="E41" s="305"/>
      <c r="F41" s="305"/>
    </row>
    <row r="42" spans="1:6" s="301" customFormat="1" x14ac:dyDescent="0.25">
      <c r="A42" s="298" t="s">
        <v>340</v>
      </c>
      <c r="B42" s="299" t="s">
        <v>333</v>
      </c>
      <c r="C42" s="305">
        <f>67+55+21+16-3-21</f>
        <v>135</v>
      </c>
      <c r="D42" s="305">
        <f>(588179+210446+237432)/12+(512031/9)-17773</f>
        <v>125457.41666666666</v>
      </c>
      <c r="E42" s="305">
        <f>67+55+21+16-3-21</f>
        <v>135</v>
      </c>
      <c r="F42" s="305">
        <f>(588179+210446+237432)/12+(512031/9)-17773</f>
        <v>125457.41666666666</v>
      </c>
    </row>
    <row r="43" spans="1:6" s="301" customFormat="1" x14ac:dyDescent="0.25">
      <c r="A43" s="298"/>
      <c r="B43" s="299"/>
      <c r="C43" s="305"/>
      <c r="D43" s="305"/>
      <c r="E43" s="305"/>
      <c r="F43" s="305"/>
    </row>
    <row r="44" spans="1:6" s="301" customFormat="1" x14ac:dyDescent="0.25">
      <c r="A44" s="298" t="s">
        <v>332</v>
      </c>
      <c r="B44" s="299" t="s">
        <v>341</v>
      </c>
      <c r="C44" s="305">
        <f>5+10+12+165+71+3</f>
        <v>266</v>
      </c>
      <c r="D44" s="305">
        <f>(57180+100605+138634+2203507)/12</f>
        <v>208327.16666666666</v>
      </c>
      <c r="E44" s="305">
        <f>5+10+12+165+71+3</f>
        <v>266</v>
      </c>
      <c r="F44" s="305">
        <f>(57180+100605+138634+2203507)/12</f>
        <v>208327.16666666666</v>
      </c>
    </row>
    <row r="45" spans="1:6" x14ac:dyDescent="0.25">
      <c r="A45" s="302"/>
      <c r="B45" s="303"/>
      <c r="C45" s="304"/>
      <c r="D45" s="304"/>
      <c r="E45" s="304"/>
      <c r="F45" s="304"/>
    </row>
    <row r="46" spans="1:6" s="301" customFormat="1" x14ac:dyDescent="0.25">
      <c r="A46" s="298" t="s">
        <v>335</v>
      </c>
      <c r="B46" s="299" t="s">
        <v>336</v>
      </c>
      <c r="C46" s="305">
        <f>SUM(C48,C52)</f>
        <v>110</v>
      </c>
      <c r="D46" s="305">
        <f t="shared" ref="D46" si="2">SUM(D48,D52)</f>
        <v>98381.333333333343</v>
      </c>
      <c r="E46" s="305">
        <f>SUM(E48,E52)</f>
        <v>110</v>
      </c>
      <c r="F46" s="305">
        <f t="shared" ref="F46" si="3">SUM(F48,F52)</f>
        <v>98381.333333333343</v>
      </c>
    </row>
    <row r="47" spans="1:6" x14ac:dyDescent="0.25">
      <c r="A47" s="302"/>
      <c r="B47" s="303"/>
      <c r="C47" s="304"/>
      <c r="D47" s="304"/>
      <c r="E47" s="304"/>
      <c r="F47" s="304"/>
    </row>
    <row r="48" spans="1:6" x14ac:dyDescent="0.25">
      <c r="A48" s="302">
        <v>1</v>
      </c>
      <c r="B48" s="303" t="s">
        <v>342</v>
      </c>
      <c r="C48" s="304">
        <f>SUM(C49:C51)</f>
        <v>27</v>
      </c>
      <c r="D48" s="304">
        <f t="shared" ref="D48" si="4">SUM(D49:D51)</f>
        <v>26684.166666666668</v>
      </c>
      <c r="E48" s="304">
        <f>SUM(E49:E51)</f>
        <v>27</v>
      </c>
      <c r="F48" s="304">
        <f t="shared" ref="F48" si="5">SUM(F49:F51)</f>
        <v>26684.166666666668</v>
      </c>
    </row>
    <row r="49" spans="1:6" x14ac:dyDescent="0.25">
      <c r="A49" s="302" t="s">
        <v>343</v>
      </c>
      <c r="B49" s="303" t="s">
        <v>344</v>
      </c>
      <c r="C49" s="304">
        <v>7</v>
      </c>
      <c r="D49" s="304">
        <f>86280/12</f>
        <v>7190</v>
      </c>
      <c r="E49" s="304">
        <v>7</v>
      </c>
      <c r="F49" s="304">
        <f>86280/12</f>
        <v>7190</v>
      </c>
    </row>
    <row r="50" spans="1:6" x14ac:dyDescent="0.25">
      <c r="A50" s="302" t="s">
        <v>345</v>
      </c>
      <c r="B50" s="303" t="s">
        <v>346</v>
      </c>
      <c r="C50" s="304">
        <v>18</v>
      </c>
      <c r="D50" s="304">
        <f>215090/12</f>
        <v>17924.166666666668</v>
      </c>
      <c r="E50" s="304">
        <v>18</v>
      </c>
      <c r="F50" s="304">
        <f>215090/12</f>
        <v>17924.166666666668</v>
      </c>
    </row>
    <row r="51" spans="1:6" x14ac:dyDescent="0.25">
      <c r="A51" s="302" t="s">
        <v>347</v>
      </c>
      <c r="B51" s="303" t="s">
        <v>348</v>
      </c>
      <c r="C51" s="304">
        <v>2</v>
      </c>
      <c r="D51" s="304">
        <f>18840/12</f>
        <v>1570</v>
      </c>
      <c r="E51" s="304">
        <v>2</v>
      </c>
      <c r="F51" s="304">
        <f>18840/12</f>
        <v>1570</v>
      </c>
    </row>
    <row r="52" spans="1:6" x14ac:dyDescent="0.25">
      <c r="A52" s="302">
        <v>2</v>
      </c>
      <c r="B52" s="303" t="s">
        <v>349</v>
      </c>
      <c r="C52" s="304">
        <f>SUM(C53:C56)</f>
        <v>83</v>
      </c>
      <c r="D52" s="304">
        <f t="shared" ref="D52" si="6">SUM(D53:D56)</f>
        <v>71697.166666666672</v>
      </c>
      <c r="E52" s="304">
        <f>SUM(E53:E56)</f>
        <v>83</v>
      </c>
      <c r="F52" s="304">
        <f t="shared" ref="F52" si="7">SUM(F53:F56)</f>
        <v>71697.166666666672</v>
      </c>
    </row>
    <row r="53" spans="1:6" x14ac:dyDescent="0.25">
      <c r="A53" s="302" t="s">
        <v>343</v>
      </c>
      <c r="B53" s="303" t="s">
        <v>350</v>
      </c>
      <c r="C53" s="304">
        <v>28</v>
      </c>
      <c r="D53" s="304">
        <f>266464/12</f>
        <v>22205.333333333332</v>
      </c>
      <c r="E53" s="304">
        <v>28</v>
      </c>
      <c r="F53" s="304">
        <f>266464/12</f>
        <v>22205.333333333332</v>
      </c>
    </row>
    <row r="54" spans="1:6" x14ac:dyDescent="0.25">
      <c r="A54" s="302" t="s">
        <v>345</v>
      </c>
      <c r="B54" s="303" t="s">
        <v>351</v>
      </c>
      <c r="C54" s="304">
        <v>18</v>
      </c>
      <c r="D54" s="304">
        <f>197300/12</f>
        <v>16441.666666666668</v>
      </c>
      <c r="E54" s="304">
        <v>18</v>
      </c>
      <c r="F54" s="304">
        <f>197300/12</f>
        <v>16441.666666666668</v>
      </c>
    </row>
    <row r="55" spans="1:6" x14ac:dyDescent="0.25">
      <c r="A55" s="302" t="s">
        <v>347</v>
      </c>
      <c r="B55" s="303" t="s">
        <v>352</v>
      </c>
      <c r="C55" s="304">
        <v>19</v>
      </c>
      <c r="D55" s="304">
        <f>221880/12</f>
        <v>18490</v>
      </c>
      <c r="E55" s="304">
        <v>19</v>
      </c>
      <c r="F55" s="304">
        <f>221880/12</f>
        <v>18490</v>
      </c>
    </row>
    <row r="56" spans="1:6" x14ac:dyDescent="0.25">
      <c r="A56" s="302" t="s">
        <v>353</v>
      </c>
      <c r="B56" s="303" t="s">
        <v>354</v>
      </c>
      <c r="C56" s="304">
        <v>18</v>
      </c>
      <c r="D56" s="304">
        <f>174722/12</f>
        <v>14560.166666666666</v>
      </c>
      <c r="E56" s="304">
        <v>18</v>
      </c>
      <c r="F56" s="304">
        <f>174722/12</f>
        <v>14560.166666666666</v>
      </c>
    </row>
    <row r="57" spans="1:6" x14ac:dyDescent="0.25">
      <c r="A57" s="302"/>
      <c r="B57" s="303"/>
      <c r="C57" s="304"/>
      <c r="D57" s="304"/>
      <c r="E57" s="304"/>
      <c r="F57" s="304"/>
    </row>
    <row r="58" spans="1:6" s="301" customFormat="1" x14ac:dyDescent="0.25">
      <c r="A58" s="298" t="s">
        <v>355</v>
      </c>
      <c r="B58" s="299" t="s">
        <v>356</v>
      </c>
      <c r="C58" s="305">
        <f t="shared" ref="C58:D58" si="8">SUM(C59,C61)</f>
        <v>56</v>
      </c>
      <c r="D58" s="305">
        <f t="shared" si="8"/>
        <v>61321.166666666664</v>
      </c>
      <c r="E58" s="305">
        <f t="shared" ref="E58:F58" si="9">SUM(E59,E61)</f>
        <v>56</v>
      </c>
      <c r="F58" s="305">
        <f t="shared" si="9"/>
        <v>61321.166666666664</v>
      </c>
    </row>
    <row r="59" spans="1:6" x14ac:dyDescent="0.25">
      <c r="A59" s="302">
        <v>1</v>
      </c>
      <c r="B59" s="303" t="s">
        <v>357</v>
      </c>
      <c r="C59" s="304">
        <f t="shared" ref="C59:F59" si="10">SUM(C60:C60)</f>
        <v>6</v>
      </c>
      <c r="D59" s="304">
        <f t="shared" si="10"/>
        <v>6916.666666666667</v>
      </c>
      <c r="E59" s="304">
        <f t="shared" si="10"/>
        <v>6</v>
      </c>
      <c r="F59" s="304">
        <f t="shared" si="10"/>
        <v>6916.666666666667</v>
      </c>
    </row>
    <row r="60" spans="1:6" x14ac:dyDescent="0.25">
      <c r="A60" s="302" t="s">
        <v>343</v>
      </c>
      <c r="B60" s="303" t="s">
        <v>358</v>
      </c>
      <c r="C60" s="304">
        <v>6</v>
      </c>
      <c r="D60" s="304">
        <f>83000/12</f>
        <v>6916.666666666667</v>
      </c>
      <c r="E60" s="304">
        <v>6</v>
      </c>
      <c r="F60" s="304">
        <f>83000/12</f>
        <v>6916.666666666667</v>
      </c>
    </row>
    <row r="61" spans="1:6" x14ac:dyDescent="0.25">
      <c r="A61" s="302">
        <v>2</v>
      </c>
      <c r="B61" s="303" t="s">
        <v>359</v>
      </c>
      <c r="C61" s="304">
        <f>SUM(C62:C65)</f>
        <v>50</v>
      </c>
      <c r="D61" s="304">
        <f t="shared" ref="D61" si="11">SUM(D62:D65)</f>
        <v>54404.5</v>
      </c>
      <c r="E61" s="304">
        <f>SUM(E62:E65)</f>
        <v>50</v>
      </c>
      <c r="F61" s="304">
        <f t="shared" ref="F61" si="12">SUM(F62:F65)</f>
        <v>54404.5</v>
      </c>
    </row>
    <row r="62" spans="1:6" x14ac:dyDescent="0.25">
      <c r="A62" s="302" t="s">
        <v>360</v>
      </c>
      <c r="B62" s="303" t="s">
        <v>361</v>
      </c>
      <c r="C62" s="304">
        <v>7</v>
      </c>
      <c r="D62" s="304">
        <f>99852/12</f>
        <v>8321</v>
      </c>
      <c r="E62" s="304">
        <v>7</v>
      </c>
      <c r="F62" s="304">
        <f>99852/12</f>
        <v>8321</v>
      </c>
    </row>
    <row r="63" spans="1:6" x14ac:dyDescent="0.25">
      <c r="A63" s="302" t="s">
        <v>362</v>
      </c>
      <c r="B63" s="303" t="s">
        <v>363</v>
      </c>
      <c r="C63" s="304">
        <f>14+1+4-1</f>
        <v>18</v>
      </c>
      <c r="D63" s="304">
        <f>(165732+12840+42354)/12</f>
        <v>18410.5</v>
      </c>
      <c r="E63" s="304">
        <f>14+1+4-1</f>
        <v>18</v>
      </c>
      <c r="F63" s="304">
        <f>(165732+12840+42354)/12</f>
        <v>18410.5</v>
      </c>
    </row>
    <row r="64" spans="1:6" x14ac:dyDescent="0.25">
      <c r="A64" s="302" t="s">
        <v>364</v>
      </c>
      <c r="B64" s="303" t="s">
        <v>365</v>
      </c>
      <c r="C64" s="304">
        <v>7</v>
      </c>
      <c r="D64" s="304">
        <f>112100/12</f>
        <v>9341.6666666666661</v>
      </c>
      <c r="E64" s="304">
        <v>7</v>
      </c>
      <c r="F64" s="304">
        <f>112100/12</f>
        <v>9341.6666666666661</v>
      </c>
    </row>
    <row r="65" spans="1:6" x14ac:dyDescent="0.25">
      <c r="A65" s="302" t="s">
        <v>366</v>
      </c>
      <c r="B65" s="303" t="s">
        <v>367</v>
      </c>
      <c r="C65" s="304">
        <v>18</v>
      </c>
      <c r="D65" s="304">
        <f>219976/12</f>
        <v>18331.333333333332</v>
      </c>
      <c r="E65" s="304">
        <v>18</v>
      </c>
      <c r="F65" s="304">
        <f>219976/12</f>
        <v>18331.333333333332</v>
      </c>
    </row>
    <row r="66" spans="1:6" s="301" customFormat="1" x14ac:dyDescent="0.25">
      <c r="A66" s="298"/>
      <c r="B66" s="299" t="s">
        <v>368</v>
      </c>
      <c r="C66" s="305"/>
      <c r="D66" s="305"/>
      <c r="E66" s="305"/>
      <c r="F66" s="305"/>
    </row>
    <row r="67" spans="1:6" s="301" customFormat="1" x14ac:dyDescent="0.25">
      <c r="A67" s="298"/>
      <c r="B67" s="299"/>
      <c r="C67" s="305"/>
      <c r="D67" s="305"/>
      <c r="E67" s="305"/>
      <c r="F67" s="305"/>
    </row>
    <row r="68" spans="1:6" s="301" customFormat="1" x14ac:dyDescent="0.25">
      <c r="A68" s="298" t="s">
        <v>319</v>
      </c>
      <c r="B68" s="299" t="s">
        <v>320</v>
      </c>
      <c r="C68" s="305">
        <v>144</v>
      </c>
      <c r="D68" s="305">
        <f>1879896/12</f>
        <v>156658</v>
      </c>
      <c r="E68" s="305">
        <v>144</v>
      </c>
      <c r="F68" s="305">
        <f>1879896/12</f>
        <v>156658</v>
      </c>
    </row>
    <row r="69" spans="1:6" s="301" customFormat="1" x14ac:dyDescent="0.25">
      <c r="A69" s="298"/>
      <c r="B69" s="299"/>
      <c r="C69" s="305"/>
      <c r="D69" s="305"/>
      <c r="E69" s="305"/>
      <c r="F69" s="305"/>
    </row>
    <row r="70" spans="1:6" s="301" customFormat="1" x14ac:dyDescent="0.25">
      <c r="A70" s="298" t="s">
        <v>338</v>
      </c>
      <c r="B70" s="299" t="s">
        <v>339</v>
      </c>
      <c r="C70" s="305">
        <v>1</v>
      </c>
      <c r="D70" s="305">
        <f>14184/12</f>
        <v>1182</v>
      </c>
      <c r="E70" s="305">
        <v>1</v>
      </c>
      <c r="F70" s="305">
        <f>14184/12</f>
        <v>1182</v>
      </c>
    </row>
    <row r="71" spans="1:6" s="301" customFormat="1" x14ac:dyDescent="0.25">
      <c r="A71" s="298"/>
      <c r="B71" s="299"/>
      <c r="C71" s="305"/>
      <c r="D71" s="305"/>
      <c r="E71" s="305"/>
      <c r="F71" s="305"/>
    </row>
    <row r="72" spans="1:6" s="301" customFormat="1" x14ac:dyDescent="0.25">
      <c r="A72" s="298" t="s">
        <v>369</v>
      </c>
      <c r="B72" s="299" t="s">
        <v>336</v>
      </c>
      <c r="C72" s="305">
        <f>2+8</f>
        <v>10</v>
      </c>
      <c r="D72" s="305">
        <f>132650/12</f>
        <v>11054.166666666666</v>
      </c>
      <c r="E72" s="305">
        <f>2+8</f>
        <v>10</v>
      </c>
      <c r="F72" s="305">
        <f>132650/12</f>
        <v>11054.166666666666</v>
      </c>
    </row>
    <row r="73" spans="1:6" s="301" customFormat="1" x14ac:dyDescent="0.25">
      <c r="A73" s="298"/>
      <c r="B73" s="299"/>
      <c r="C73" s="305"/>
      <c r="D73" s="305"/>
      <c r="E73" s="305"/>
      <c r="F73" s="305"/>
    </row>
    <row r="74" spans="1:6" s="301" customFormat="1" x14ac:dyDescent="0.25">
      <c r="A74" s="298"/>
      <c r="B74" s="299" t="s">
        <v>370</v>
      </c>
      <c r="C74" s="305"/>
      <c r="D74" s="305"/>
      <c r="E74" s="305"/>
      <c r="F74" s="305"/>
    </row>
    <row r="75" spans="1:6" x14ac:dyDescent="0.25">
      <c r="A75" s="302">
        <v>1</v>
      </c>
      <c r="B75" s="303" t="s">
        <v>371</v>
      </c>
      <c r="C75" s="304">
        <v>3</v>
      </c>
      <c r="D75" s="304">
        <f>34932/12</f>
        <v>2911</v>
      </c>
      <c r="E75" s="304">
        <v>3</v>
      </c>
      <c r="F75" s="304">
        <f>34932/12</f>
        <v>2911</v>
      </c>
    </row>
    <row r="77" spans="1:6" x14ac:dyDescent="0.25">
      <c r="D77" s="310"/>
      <c r="F77" s="310"/>
    </row>
    <row r="78" spans="1:6" x14ac:dyDescent="0.25">
      <c r="B78" s="286" t="s">
        <v>372</v>
      </c>
    </row>
    <row r="81" spans="1:7" s="16" customFormat="1" x14ac:dyDescent="0.25">
      <c r="A81" s="13" t="s">
        <v>631</v>
      </c>
      <c r="F81" s="62"/>
      <c r="G81" s="61"/>
    </row>
    <row r="82" spans="1:7" s="16" customFormat="1" x14ac:dyDescent="0.25">
      <c r="A82" s="13" t="s">
        <v>387</v>
      </c>
      <c r="E82" s="13"/>
      <c r="F82" s="73"/>
      <c r="G82" s="61"/>
    </row>
    <row r="83" spans="1:7" s="16" customFormat="1" x14ac:dyDescent="0.25">
      <c r="A83" s="15" t="s">
        <v>388</v>
      </c>
      <c r="E83" s="15"/>
      <c r="F83" s="63"/>
      <c r="G83" s="61"/>
    </row>
    <row r="84" spans="1:7" s="16" customFormat="1" x14ac:dyDescent="0.25">
      <c r="A84" s="15" t="s">
        <v>644</v>
      </c>
      <c r="E84" s="15"/>
      <c r="F84" s="63"/>
      <c r="G84" s="61"/>
    </row>
    <row r="85" spans="1:7" s="16" customFormat="1" x14ac:dyDescent="0.25">
      <c r="A85" s="15"/>
      <c r="E85" s="15"/>
      <c r="F85" s="63"/>
      <c r="G85" s="61"/>
    </row>
    <row r="86" spans="1:7" s="16" customFormat="1" x14ac:dyDescent="0.25">
      <c r="A86" s="16" t="s">
        <v>201</v>
      </c>
      <c r="G86" s="61"/>
    </row>
    <row r="87" spans="1:7" s="311" customFormat="1" x14ac:dyDescent="0.25">
      <c r="A87" s="13" t="s">
        <v>306</v>
      </c>
    </row>
    <row r="88" spans="1:7" s="311" customFormat="1" x14ac:dyDescent="0.25">
      <c r="A88" s="15" t="s">
        <v>307</v>
      </c>
    </row>
    <row r="89" spans="1:7" s="14" customFormat="1" x14ac:dyDescent="0.25">
      <c r="A89" s="16"/>
      <c r="C89" s="193"/>
      <c r="D89" s="193"/>
      <c r="E89" s="193"/>
      <c r="F89" s="193"/>
    </row>
    <row r="90" spans="1:7" s="197" customFormat="1" x14ac:dyDescent="0.25">
      <c r="A90" s="13" t="s">
        <v>308</v>
      </c>
      <c r="C90" s="195"/>
      <c r="D90" s="312"/>
      <c r="E90" s="195"/>
      <c r="F90" s="312"/>
    </row>
    <row r="91" spans="1:7" x14ac:dyDescent="0.25">
      <c r="A91" s="15" t="s">
        <v>309</v>
      </c>
    </row>
    <row r="92" spans="1:7" s="314" customFormat="1" x14ac:dyDescent="0.25">
      <c r="A92" s="313"/>
    </row>
    <row r="93" spans="1:7" s="197" customFormat="1" x14ac:dyDescent="0.25">
      <c r="A93" s="315" t="s">
        <v>204</v>
      </c>
      <c r="B93" s="65"/>
      <c r="C93" s="65"/>
      <c r="D93" s="65"/>
      <c r="E93" s="65"/>
      <c r="F93" s="65"/>
    </row>
    <row r="94" spans="1:7" s="14" customFormat="1" x14ac:dyDescent="0.25">
      <c r="A94" s="315" t="s">
        <v>373</v>
      </c>
      <c r="B94" s="64"/>
      <c r="C94" s="64"/>
      <c r="D94" s="64"/>
      <c r="E94" s="64"/>
      <c r="F94" s="64"/>
    </row>
    <row r="95" spans="1:7" s="316" customFormat="1" x14ac:dyDescent="0.25">
      <c r="A95" s="315" t="s">
        <v>374</v>
      </c>
    </row>
    <row r="96" spans="1:7" s="316" customFormat="1" x14ac:dyDescent="0.25">
      <c r="A96" s="317"/>
    </row>
    <row r="97" spans="1:1" x14ac:dyDescent="0.25">
      <c r="A97" s="283"/>
    </row>
    <row r="98" spans="1:1" x14ac:dyDescent="0.25">
      <c r="A98" s="318"/>
    </row>
    <row r="99" spans="1:1" x14ac:dyDescent="0.25">
      <c r="A99" s="283"/>
    </row>
    <row r="100" spans="1:1" x14ac:dyDescent="0.25">
      <c r="A100" s="279"/>
    </row>
    <row r="101" spans="1:1" x14ac:dyDescent="0.25">
      <c r="A101" s="279"/>
    </row>
    <row r="102" spans="1:1" x14ac:dyDescent="0.25">
      <c r="A102" s="283"/>
    </row>
    <row r="103" spans="1:1" x14ac:dyDescent="0.25">
      <c r="A103" s="279"/>
    </row>
    <row r="104" spans="1:1" x14ac:dyDescent="0.25">
      <c r="A104" s="279"/>
    </row>
    <row r="105" spans="1:1" x14ac:dyDescent="0.25">
      <c r="A105" s="283"/>
    </row>
    <row r="106" spans="1:1" x14ac:dyDescent="0.25">
      <c r="A106" s="279"/>
    </row>
    <row r="108" spans="1:1" x14ac:dyDescent="0.25">
      <c r="A108" s="318"/>
    </row>
    <row r="109" spans="1:1" x14ac:dyDescent="0.25">
      <c r="A109" s="318"/>
    </row>
    <row r="110" spans="1:1" x14ac:dyDescent="0.25">
      <c r="A110" s="318"/>
    </row>
    <row r="111" spans="1:1" x14ac:dyDescent="0.25">
      <c r="A111" s="318"/>
    </row>
  </sheetData>
  <mergeCells count="7">
    <mergeCell ref="C9:D9"/>
    <mergeCell ref="E9:F9"/>
    <mergeCell ref="C1:D1"/>
    <mergeCell ref="A3:D3"/>
    <mergeCell ref="A6:D6"/>
    <mergeCell ref="C8:D8"/>
    <mergeCell ref="E8:F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2" fitToWidth="0" orientation="portrait" r:id="rId1"/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39"/>
  <sheetViews>
    <sheetView topLeftCell="A16" workbookViewId="0">
      <selection activeCell="D41" sqref="D41"/>
    </sheetView>
  </sheetViews>
  <sheetFormatPr defaultRowHeight="15.75" x14ac:dyDescent="0.25"/>
  <cols>
    <col min="1" max="1" width="4.7109375" style="173" customWidth="1"/>
    <col min="2" max="2" width="5.7109375" style="174" customWidth="1"/>
    <col min="3" max="3" width="60.28515625" style="171" customWidth="1"/>
    <col min="4" max="4" width="21.140625" style="171" customWidth="1"/>
    <col min="5" max="5" width="28.7109375" style="174" customWidth="1"/>
    <col min="6" max="257" width="9.140625" style="173"/>
    <col min="258" max="258" width="5.7109375" style="173" customWidth="1"/>
    <col min="259" max="259" width="60.28515625" style="173" customWidth="1"/>
    <col min="260" max="260" width="25" style="173" customWidth="1"/>
    <col min="261" max="261" width="32.140625" style="173" customWidth="1"/>
    <col min="262" max="513" width="9.140625" style="173"/>
    <col min="514" max="514" width="5.7109375" style="173" customWidth="1"/>
    <col min="515" max="515" width="60.28515625" style="173" customWidth="1"/>
    <col min="516" max="516" width="25" style="173" customWidth="1"/>
    <col min="517" max="517" width="32.140625" style="173" customWidth="1"/>
    <col min="518" max="769" width="9.140625" style="173"/>
    <col min="770" max="770" width="5.7109375" style="173" customWidth="1"/>
    <col min="771" max="771" width="60.28515625" style="173" customWidth="1"/>
    <col min="772" max="772" width="25" style="173" customWidth="1"/>
    <col min="773" max="773" width="32.140625" style="173" customWidth="1"/>
    <col min="774" max="1025" width="9.140625" style="173"/>
    <col min="1026" max="1026" width="5.7109375" style="173" customWidth="1"/>
    <col min="1027" max="1027" width="60.28515625" style="173" customWidth="1"/>
    <col min="1028" max="1028" width="25" style="173" customWidth="1"/>
    <col min="1029" max="1029" width="32.140625" style="173" customWidth="1"/>
    <col min="1030" max="1281" width="9.140625" style="173"/>
    <col min="1282" max="1282" width="5.7109375" style="173" customWidth="1"/>
    <col min="1283" max="1283" width="60.28515625" style="173" customWidth="1"/>
    <col min="1284" max="1284" width="25" style="173" customWidth="1"/>
    <col min="1285" max="1285" width="32.140625" style="173" customWidth="1"/>
    <col min="1286" max="1537" width="9.140625" style="173"/>
    <col min="1538" max="1538" width="5.7109375" style="173" customWidth="1"/>
    <col min="1539" max="1539" width="60.28515625" style="173" customWidth="1"/>
    <col min="1540" max="1540" width="25" style="173" customWidth="1"/>
    <col min="1541" max="1541" width="32.140625" style="173" customWidth="1"/>
    <col min="1542" max="1793" width="9.140625" style="173"/>
    <col min="1794" max="1794" width="5.7109375" style="173" customWidth="1"/>
    <col min="1795" max="1795" width="60.28515625" style="173" customWidth="1"/>
    <col min="1796" max="1796" width="25" style="173" customWidth="1"/>
    <col min="1797" max="1797" width="32.140625" style="173" customWidth="1"/>
    <col min="1798" max="2049" width="9.140625" style="173"/>
    <col min="2050" max="2050" width="5.7109375" style="173" customWidth="1"/>
    <col min="2051" max="2051" width="60.28515625" style="173" customWidth="1"/>
    <col min="2052" max="2052" width="25" style="173" customWidth="1"/>
    <col min="2053" max="2053" width="32.140625" style="173" customWidth="1"/>
    <col min="2054" max="2305" width="9.140625" style="173"/>
    <col min="2306" max="2306" width="5.7109375" style="173" customWidth="1"/>
    <col min="2307" max="2307" width="60.28515625" style="173" customWidth="1"/>
    <col min="2308" max="2308" width="25" style="173" customWidth="1"/>
    <col min="2309" max="2309" width="32.140625" style="173" customWidth="1"/>
    <col min="2310" max="2561" width="9.140625" style="173"/>
    <col min="2562" max="2562" width="5.7109375" style="173" customWidth="1"/>
    <col min="2563" max="2563" width="60.28515625" style="173" customWidth="1"/>
    <col min="2564" max="2564" width="25" style="173" customWidth="1"/>
    <col min="2565" max="2565" width="32.140625" style="173" customWidth="1"/>
    <col min="2566" max="2817" width="9.140625" style="173"/>
    <col min="2818" max="2818" width="5.7109375" style="173" customWidth="1"/>
    <col min="2819" max="2819" width="60.28515625" style="173" customWidth="1"/>
    <col min="2820" max="2820" width="25" style="173" customWidth="1"/>
    <col min="2821" max="2821" width="32.140625" style="173" customWidth="1"/>
    <col min="2822" max="3073" width="9.140625" style="173"/>
    <col min="3074" max="3074" width="5.7109375" style="173" customWidth="1"/>
    <col min="3075" max="3075" width="60.28515625" style="173" customWidth="1"/>
    <col min="3076" max="3076" width="25" style="173" customWidth="1"/>
    <col min="3077" max="3077" width="32.140625" style="173" customWidth="1"/>
    <col min="3078" max="3329" width="9.140625" style="173"/>
    <col min="3330" max="3330" width="5.7109375" style="173" customWidth="1"/>
    <col min="3331" max="3331" width="60.28515625" style="173" customWidth="1"/>
    <col min="3332" max="3332" width="25" style="173" customWidth="1"/>
    <col min="3333" max="3333" width="32.140625" style="173" customWidth="1"/>
    <col min="3334" max="3585" width="9.140625" style="173"/>
    <col min="3586" max="3586" width="5.7109375" style="173" customWidth="1"/>
    <col min="3587" max="3587" width="60.28515625" style="173" customWidth="1"/>
    <col min="3588" max="3588" width="25" style="173" customWidth="1"/>
    <col min="3589" max="3589" width="32.140625" style="173" customWidth="1"/>
    <col min="3590" max="3841" width="9.140625" style="173"/>
    <col min="3842" max="3842" width="5.7109375" style="173" customWidth="1"/>
    <col min="3843" max="3843" width="60.28515625" style="173" customWidth="1"/>
    <col min="3844" max="3844" width="25" style="173" customWidth="1"/>
    <col min="3845" max="3845" width="32.140625" style="173" customWidth="1"/>
    <col min="3846" max="4097" width="9.140625" style="173"/>
    <col min="4098" max="4098" width="5.7109375" style="173" customWidth="1"/>
    <col min="4099" max="4099" width="60.28515625" style="173" customWidth="1"/>
    <col min="4100" max="4100" width="25" style="173" customWidth="1"/>
    <col min="4101" max="4101" width="32.140625" style="173" customWidth="1"/>
    <col min="4102" max="4353" width="9.140625" style="173"/>
    <col min="4354" max="4354" width="5.7109375" style="173" customWidth="1"/>
    <col min="4355" max="4355" width="60.28515625" style="173" customWidth="1"/>
    <col min="4356" max="4356" width="25" style="173" customWidth="1"/>
    <col min="4357" max="4357" width="32.140625" style="173" customWidth="1"/>
    <col min="4358" max="4609" width="9.140625" style="173"/>
    <col min="4610" max="4610" width="5.7109375" style="173" customWidth="1"/>
    <col min="4611" max="4611" width="60.28515625" style="173" customWidth="1"/>
    <col min="4612" max="4612" width="25" style="173" customWidth="1"/>
    <col min="4613" max="4613" width="32.140625" style="173" customWidth="1"/>
    <col min="4614" max="4865" width="9.140625" style="173"/>
    <col min="4866" max="4866" width="5.7109375" style="173" customWidth="1"/>
    <col min="4867" max="4867" width="60.28515625" style="173" customWidth="1"/>
    <col min="4868" max="4868" width="25" style="173" customWidth="1"/>
    <col min="4869" max="4869" width="32.140625" style="173" customWidth="1"/>
    <col min="4870" max="5121" width="9.140625" style="173"/>
    <col min="5122" max="5122" width="5.7109375" style="173" customWidth="1"/>
    <col min="5123" max="5123" width="60.28515625" style="173" customWidth="1"/>
    <col min="5124" max="5124" width="25" style="173" customWidth="1"/>
    <col min="5125" max="5125" width="32.140625" style="173" customWidth="1"/>
    <col min="5126" max="5377" width="9.140625" style="173"/>
    <col min="5378" max="5378" width="5.7109375" style="173" customWidth="1"/>
    <col min="5379" max="5379" width="60.28515625" style="173" customWidth="1"/>
    <col min="5380" max="5380" width="25" style="173" customWidth="1"/>
    <col min="5381" max="5381" width="32.140625" style="173" customWidth="1"/>
    <col min="5382" max="5633" width="9.140625" style="173"/>
    <col min="5634" max="5634" width="5.7109375" style="173" customWidth="1"/>
    <col min="5635" max="5635" width="60.28515625" style="173" customWidth="1"/>
    <col min="5636" max="5636" width="25" style="173" customWidth="1"/>
    <col min="5637" max="5637" width="32.140625" style="173" customWidth="1"/>
    <col min="5638" max="5889" width="9.140625" style="173"/>
    <col min="5890" max="5890" width="5.7109375" style="173" customWidth="1"/>
    <col min="5891" max="5891" width="60.28515625" style="173" customWidth="1"/>
    <col min="5892" max="5892" width="25" style="173" customWidth="1"/>
    <col min="5893" max="5893" width="32.140625" style="173" customWidth="1"/>
    <col min="5894" max="6145" width="9.140625" style="173"/>
    <col min="6146" max="6146" width="5.7109375" style="173" customWidth="1"/>
    <col min="6147" max="6147" width="60.28515625" style="173" customWidth="1"/>
    <col min="6148" max="6148" width="25" style="173" customWidth="1"/>
    <col min="6149" max="6149" width="32.140625" style="173" customWidth="1"/>
    <col min="6150" max="6401" width="9.140625" style="173"/>
    <col min="6402" max="6402" width="5.7109375" style="173" customWidth="1"/>
    <col min="6403" max="6403" width="60.28515625" style="173" customWidth="1"/>
    <col min="6404" max="6404" width="25" style="173" customWidth="1"/>
    <col min="6405" max="6405" width="32.140625" style="173" customWidth="1"/>
    <col min="6406" max="6657" width="9.140625" style="173"/>
    <col min="6658" max="6658" width="5.7109375" style="173" customWidth="1"/>
    <col min="6659" max="6659" width="60.28515625" style="173" customWidth="1"/>
    <col min="6660" max="6660" width="25" style="173" customWidth="1"/>
    <col min="6661" max="6661" width="32.140625" style="173" customWidth="1"/>
    <col min="6662" max="6913" width="9.140625" style="173"/>
    <col min="6914" max="6914" width="5.7109375" style="173" customWidth="1"/>
    <col min="6915" max="6915" width="60.28515625" style="173" customWidth="1"/>
    <col min="6916" max="6916" width="25" style="173" customWidth="1"/>
    <col min="6917" max="6917" width="32.140625" style="173" customWidth="1"/>
    <col min="6918" max="7169" width="9.140625" style="173"/>
    <col min="7170" max="7170" width="5.7109375" style="173" customWidth="1"/>
    <col min="7171" max="7171" width="60.28515625" style="173" customWidth="1"/>
    <col min="7172" max="7172" width="25" style="173" customWidth="1"/>
    <col min="7173" max="7173" width="32.140625" style="173" customWidth="1"/>
    <col min="7174" max="7425" width="9.140625" style="173"/>
    <col min="7426" max="7426" width="5.7109375" style="173" customWidth="1"/>
    <col min="7427" max="7427" width="60.28515625" style="173" customWidth="1"/>
    <col min="7428" max="7428" width="25" style="173" customWidth="1"/>
    <col min="7429" max="7429" width="32.140625" style="173" customWidth="1"/>
    <col min="7430" max="7681" width="9.140625" style="173"/>
    <col min="7682" max="7682" width="5.7109375" style="173" customWidth="1"/>
    <col min="7683" max="7683" width="60.28515625" style="173" customWidth="1"/>
    <col min="7684" max="7684" width="25" style="173" customWidth="1"/>
    <col min="7685" max="7685" width="32.140625" style="173" customWidth="1"/>
    <col min="7686" max="7937" width="9.140625" style="173"/>
    <col min="7938" max="7938" width="5.7109375" style="173" customWidth="1"/>
    <col min="7939" max="7939" width="60.28515625" style="173" customWidth="1"/>
    <col min="7940" max="7940" width="25" style="173" customWidth="1"/>
    <col min="7941" max="7941" width="32.140625" style="173" customWidth="1"/>
    <col min="7942" max="8193" width="9.140625" style="173"/>
    <col min="8194" max="8194" width="5.7109375" style="173" customWidth="1"/>
    <col min="8195" max="8195" width="60.28515625" style="173" customWidth="1"/>
    <col min="8196" max="8196" width="25" style="173" customWidth="1"/>
    <col min="8197" max="8197" width="32.140625" style="173" customWidth="1"/>
    <col min="8198" max="8449" width="9.140625" style="173"/>
    <col min="8450" max="8450" width="5.7109375" style="173" customWidth="1"/>
    <col min="8451" max="8451" width="60.28515625" style="173" customWidth="1"/>
    <col min="8452" max="8452" width="25" style="173" customWidth="1"/>
    <col min="8453" max="8453" width="32.140625" style="173" customWidth="1"/>
    <col min="8454" max="8705" width="9.140625" style="173"/>
    <col min="8706" max="8706" width="5.7109375" style="173" customWidth="1"/>
    <col min="8707" max="8707" width="60.28515625" style="173" customWidth="1"/>
    <col min="8708" max="8708" width="25" style="173" customWidth="1"/>
    <col min="8709" max="8709" width="32.140625" style="173" customWidth="1"/>
    <col min="8710" max="8961" width="9.140625" style="173"/>
    <col min="8962" max="8962" width="5.7109375" style="173" customWidth="1"/>
    <col min="8963" max="8963" width="60.28515625" style="173" customWidth="1"/>
    <col min="8964" max="8964" width="25" style="173" customWidth="1"/>
    <col min="8965" max="8965" width="32.140625" style="173" customWidth="1"/>
    <col min="8966" max="9217" width="9.140625" style="173"/>
    <col min="9218" max="9218" width="5.7109375" style="173" customWidth="1"/>
    <col min="9219" max="9219" width="60.28515625" style="173" customWidth="1"/>
    <col min="9220" max="9220" width="25" style="173" customWidth="1"/>
    <col min="9221" max="9221" width="32.140625" style="173" customWidth="1"/>
    <col min="9222" max="9473" width="9.140625" style="173"/>
    <col min="9474" max="9474" width="5.7109375" style="173" customWidth="1"/>
    <col min="9475" max="9475" width="60.28515625" style="173" customWidth="1"/>
    <col min="9476" max="9476" width="25" style="173" customWidth="1"/>
    <col min="9477" max="9477" width="32.140625" style="173" customWidth="1"/>
    <col min="9478" max="9729" width="9.140625" style="173"/>
    <col min="9730" max="9730" width="5.7109375" style="173" customWidth="1"/>
    <col min="9731" max="9731" width="60.28515625" style="173" customWidth="1"/>
    <col min="9732" max="9732" width="25" style="173" customWidth="1"/>
    <col min="9733" max="9733" width="32.140625" style="173" customWidth="1"/>
    <col min="9734" max="9985" width="9.140625" style="173"/>
    <col min="9986" max="9986" width="5.7109375" style="173" customWidth="1"/>
    <col min="9987" max="9987" width="60.28515625" style="173" customWidth="1"/>
    <col min="9988" max="9988" width="25" style="173" customWidth="1"/>
    <col min="9989" max="9989" width="32.140625" style="173" customWidth="1"/>
    <col min="9990" max="10241" width="9.140625" style="173"/>
    <col min="10242" max="10242" width="5.7109375" style="173" customWidth="1"/>
    <col min="10243" max="10243" width="60.28515625" style="173" customWidth="1"/>
    <col min="10244" max="10244" width="25" style="173" customWidth="1"/>
    <col min="10245" max="10245" width="32.140625" style="173" customWidth="1"/>
    <col min="10246" max="10497" width="9.140625" style="173"/>
    <col min="10498" max="10498" width="5.7109375" style="173" customWidth="1"/>
    <col min="10499" max="10499" width="60.28515625" style="173" customWidth="1"/>
    <col min="10500" max="10500" width="25" style="173" customWidth="1"/>
    <col min="10501" max="10501" width="32.140625" style="173" customWidth="1"/>
    <col min="10502" max="10753" width="9.140625" style="173"/>
    <col min="10754" max="10754" width="5.7109375" style="173" customWidth="1"/>
    <col min="10755" max="10755" width="60.28515625" style="173" customWidth="1"/>
    <col min="10756" max="10756" width="25" style="173" customWidth="1"/>
    <col min="10757" max="10757" width="32.140625" style="173" customWidth="1"/>
    <col min="10758" max="11009" width="9.140625" style="173"/>
    <col min="11010" max="11010" width="5.7109375" style="173" customWidth="1"/>
    <col min="11011" max="11011" width="60.28515625" style="173" customWidth="1"/>
    <col min="11012" max="11012" width="25" style="173" customWidth="1"/>
    <col min="11013" max="11013" width="32.140625" style="173" customWidth="1"/>
    <col min="11014" max="11265" width="9.140625" style="173"/>
    <col min="11266" max="11266" width="5.7109375" style="173" customWidth="1"/>
    <col min="11267" max="11267" width="60.28515625" style="173" customWidth="1"/>
    <col min="11268" max="11268" width="25" style="173" customWidth="1"/>
    <col min="11269" max="11269" width="32.140625" style="173" customWidth="1"/>
    <col min="11270" max="11521" width="9.140625" style="173"/>
    <col min="11522" max="11522" width="5.7109375" style="173" customWidth="1"/>
    <col min="11523" max="11523" width="60.28515625" style="173" customWidth="1"/>
    <col min="11524" max="11524" width="25" style="173" customWidth="1"/>
    <col min="11525" max="11525" width="32.140625" style="173" customWidth="1"/>
    <col min="11526" max="11777" width="9.140625" style="173"/>
    <col min="11778" max="11778" width="5.7109375" style="173" customWidth="1"/>
    <col min="11779" max="11779" width="60.28515625" style="173" customWidth="1"/>
    <col min="11780" max="11780" width="25" style="173" customWidth="1"/>
    <col min="11781" max="11781" width="32.140625" style="173" customWidth="1"/>
    <col min="11782" max="12033" width="9.140625" style="173"/>
    <col min="12034" max="12034" width="5.7109375" style="173" customWidth="1"/>
    <col min="12035" max="12035" width="60.28515625" style="173" customWidth="1"/>
    <col min="12036" max="12036" width="25" style="173" customWidth="1"/>
    <col min="12037" max="12037" width="32.140625" style="173" customWidth="1"/>
    <col min="12038" max="12289" width="9.140625" style="173"/>
    <col min="12290" max="12290" width="5.7109375" style="173" customWidth="1"/>
    <col min="12291" max="12291" width="60.28515625" style="173" customWidth="1"/>
    <col min="12292" max="12292" width="25" style="173" customWidth="1"/>
    <col min="12293" max="12293" width="32.140625" style="173" customWidth="1"/>
    <col min="12294" max="12545" width="9.140625" style="173"/>
    <col min="12546" max="12546" width="5.7109375" style="173" customWidth="1"/>
    <col min="12547" max="12547" width="60.28515625" style="173" customWidth="1"/>
    <col min="12548" max="12548" width="25" style="173" customWidth="1"/>
    <col min="12549" max="12549" width="32.140625" style="173" customWidth="1"/>
    <col min="12550" max="12801" width="9.140625" style="173"/>
    <col min="12802" max="12802" width="5.7109375" style="173" customWidth="1"/>
    <col min="12803" max="12803" width="60.28515625" style="173" customWidth="1"/>
    <col min="12804" max="12804" width="25" style="173" customWidth="1"/>
    <col min="12805" max="12805" width="32.140625" style="173" customWidth="1"/>
    <col min="12806" max="13057" width="9.140625" style="173"/>
    <col min="13058" max="13058" width="5.7109375" style="173" customWidth="1"/>
    <col min="13059" max="13059" width="60.28515625" style="173" customWidth="1"/>
    <col min="13060" max="13060" width="25" style="173" customWidth="1"/>
    <col min="13061" max="13061" width="32.140625" style="173" customWidth="1"/>
    <col min="13062" max="13313" width="9.140625" style="173"/>
    <col min="13314" max="13314" width="5.7109375" style="173" customWidth="1"/>
    <col min="13315" max="13315" width="60.28515625" style="173" customWidth="1"/>
    <col min="13316" max="13316" width="25" style="173" customWidth="1"/>
    <col min="13317" max="13317" width="32.140625" style="173" customWidth="1"/>
    <col min="13318" max="13569" width="9.140625" style="173"/>
    <col min="13570" max="13570" width="5.7109375" style="173" customWidth="1"/>
    <col min="13571" max="13571" width="60.28515625" style="173" customWidth="1"/>
    <col min="13572" max="13572" width="25" style="173" customWidth="1"/>
    <col min="13573" max="13573" width="32.140625" style="173" customWidth="1"/>
    <col min="13574" max="13825" width="9.140625" style="173"/>
    <col min="13826" max="13826" width="5.7109375" style="173" customWidth="1"/>
    <col min="13827" max="13827" width="60.28515625" style="173" customWidth="1"/>
    <col min="13828" max="13828" width="25" style="173" customWidth="1"/>
    <col min="13829" max="13829" width="32.140625" style="173" customWidth="1"/>
    <col min="13830" max="14081" width="9.140625" style="173"/>
    <col min="14082" max="14082" width="5.7109375" style="173" customWidth="1"/>
    <col min="14083" max="14083" width="60.28515625" style="173" customWidth="1"/>
    <col min="14084" max="14084" width="25" style="173" customWidth="1"/>
    <col min="14085" max="14085" width="32.140625" style="173" customWidth="1"/>
    <col min="14086" max="14337" width="9.140625" style="173"/>
    <col min="14338" max="14338" width="5.7109375" style="173" customWidth="1"/>
    <col min="14339" max="14339" width="60.28515625" style="173" customWidth="1"/>
    <col min="14340" max="14340" width="25" style="173" customWidth="1"/>
    <col min="14341" max="14341" width="32.140625" style="173" customWidth="1"/>
    <col min="14342" max="14593" width="9.140625" style="173"/>
    <col min="14594" max="14594" width="5.7109375" style="173" customWidth="1"/>
    <col min="14595" max="14595" width="60.28515625" style="173" customWidth="1"/>
    <col min="14596" max="14596" width="25" style="173" customWidth="1"/>
    <col min="14597" max="14597" width="32.140625" style="173" customWidth="1"/>
    <col min="14598" max="14849" width="9.140625" style="173"/>
    <col min="14850" max="14850" width="5.7109375" style="173" customWidth="1"/>
    <col min="14851" max="14851" width="60.28515625" style="173" customWidth="1"/>
    <col min="14852" max="14852" width="25" style="173" customWidth="1"/>
    <col min="14853" max="14853" width="32.140625" style="173" customWidth="1"/>
    <col min="14854" max="15105" width="9.140625" style="173"/>
    <col min="15106" max="15106" width="5.7109375" style="173" customWidth="1"/>
    <col min="15107" max="15107" width="60.28515625" style="173" customWidth="1"/>
    <col min="15108" max="15108" width="25" style="173" customWidth="1"/>
    <col min="15109" max="15109" width="32.140625" style="173" customWidth="1"/>
    <col min="15110" max="15361" width="9.140625" style="173"/>
    <col min="15362" max="15362" width="5.7109375" style="173" customWidth="1"/>
    <col min="15363" max="15363" width="60.28515625" style="173" customWidth="1"/>
    <col min="15364" max="15364" width="25" style="173" customWidth="1"/>
    <col min="15365" max="15365" width="32.140625" style="173" customWidth="1"/>
    <col min="15366" max="15617" width="9.140625" style="173"/>
    <col min="15618" max="15618" width="5.7109375" style="173" customWidth="1"/>
    <col min="15619" max="15619" width="60.28515625" style="173" customWidth="1"/>
    <col min="15620" max="15620" width="25" style="173" customWidth="1"/>
    <col min="15621" max="15621" width="32.140625" style="173" customWidth="1"/>
    <col min="15622" max="15873" width="9.140625" style="173"/>
    <col min="15874" max="15874" width="5.7109375" style="173" customWidth="1"/>
    <col min="15875" max="15875" width="60.28515625" style="173" customWidth="1"/>
    <col min="15876" max="15876" width="25" style="173" customWidth="1"/>
    <col min="15877" max="15877" width="32.140625" style="173" customWidth="1"/>
    <col min="15878" max="16129" width="9.140625" style="173"/>
    <col min="16130" max="16130" width="5.7109375" style="173" customWidth="1"/>
    <col min="16131" max="16131" width="60.28515625" style="173" customWidth="1"/>
    <col min="16132" max="16132" width="25" style="173" customWidth="1"/>
    <col min="16133" max="16133" width="32.140625" style="173" customWidth="1"/>
    <col min="16134" max="16384" width="9.140625" style="173"/>
  </cols>
  <sheetData>
    <row r="2" spans="2:5" x14ac:dyDescent="0.25">
      <c r="B2" s="170"/>
      <c r="E2" s="172" t="s">
        <v>548</v>
      </c>
    </row>
    <row r="3" spans="2:5" x14ac:dyDescent="0.25">
      <c r="B3" s="170"/>
    </row>
    <row r="4" spans="2:5" x14ac:dyDescent="0.25">
      <c r="B4" s="175"/>
      <c r="D4" s="225"/>
      <c r="E4" s="225"/>
    </row>
    <row r="5" spans="2:5" x14ac:dyDescent="0.25">
      <c r="B5" s="226" t="s">
        <v>523</v>
      </c>
      <c r="C5" s="227"/>
      <c r="D5" s="227"/>
      <c r="E5" s="228"/>
    </row>
    <row r="6" spans="2:5" x14ac:dyDescent="0.25">
      <c r="B6" s="176"/>
      <c r="C6" s="177"/>
      <c r="D6" s="177"/>
      <c r="E6" s="178" t="s">
        <v>524</v>
      </c>
    </row>
    <row r="7" spans="2:5" ht="31.5" x14ac:dyDescent="0.25">
      <c r="B7" s="229" t="s">
        <v>525</v>
      </c>
      <c r="C7" s="229" t="s">
        <v>526</v>
      </c>
      <c r="D7" s="230" t="s">
        <v>527</v>
      </c>
      <c r="E7" s="202" t="s">
        <v>528</v>
      </c>
    </row>
    <row r="8" spans="2:5" ht="47.25" x14ac:dyDescent="0.25">
      <c r="B8" s="229"/>
      <c r="C8" s="229"/>
      <c r="D8" s="231"/>
      <c r="E8" s="179" t="s">
        <v>529</v>
      </c>
    </row>
    <row r="9" spans="2:5" x14ac:dyDescent="0.25">
      <c r="B9" s="179">
        <v>1</v>
      </c>
      <c r="C9" s="179">
        <v>2</v>
      </c>
      <c r="D9" s="179">
        <v>3</v>
      </c>
      <c r="E9" s="179">
        <v>4</v>
      </c>
    </row>
    <row r="10" spans="2:5" s="181" customFormat="1" ht="37.5" customHeight="1" x14ac:dyDescent="0.25">
      <c r="B10" s="232" t="s">
        <v>530</v>
      </c>
      <c r="C10" s="233"/>
      <c r="D10" s="180">
        <v>657547</v>
      </c>
      <c r="E10" s="180">
        <f>SUM(E11,E15,E19,E22)</f>
        <v>657547</v>
      </c>
    </row>
    <row r="11" spans="2:5" s="185" customFormat="1" x14ac:dyDescent="0.25">
      <c r="B11" s="222" t="s">
        <v>531</v>
      </c>
      <c r="C11" s="223"/>
      <c r="D11" s="184">
        <f>SUM(D12)</f>
        <v>488213</v>
      </c>
      <c r="E11" s="184">
        <f>SUM(E12)</f>
        <v>321205</v>
      </c>
    </row>
    <row r="12" spans="2:5" s="185" customFormat="1" x14ac:dyDescent="0.25">
      <c r="B12" s="222" t="s">
        <v>532</v>
      </c>
      <c r="C12" s="223"/>
      <c r="D12" s="184">
        <f>SUM(D13)</f>
        <v>488213</v>
      </c>
      <c r="E12" s="184">
        <f>SUM(E13)</f>
        <v>321205</v>
      </c>
    </row>
    <row r="13" spans="2:5" s="189" customFormat="1" ht="47.25" x14ac:dyDescent="0.25">
      <c r="B13" s="187">
        <v>1</v>
      </c>
      <c r="C13" s="187" t="s">
        <v>49</v>
      </c>
      <c r="D13" s="188">
        <v>488213</v>
      </c>
      <c r="E13" s="188">
        <v>321205</v>
      </c>
    </row>
    <row r="14" spans="2:5" x14ac:dyDescent="0.25">
      <c r="B14" s="190"/>
      <c r="C14" s="190"/>
      <c r="D14" s="188"/>
      <c r="E14" s="188"/>
    </row>
    <row r="15" spans="2:5" s="185" customFormat="1" x14ac:dyDescent="0.25">
      <c r="B15" s="234" t="s">
        <v>549</v>
      </c>
      <c r="C15" s="235"/>
      <c r="D15" s="184">
        <f>SUM(D16)</f>
        <v>215301</v>
      </c>
      <c r="E15" s="184">
        <f>SUM(E16)</f>
        <v>36342</v>
      </c>
    </row>
    <row r="16" spans="2:5" s="185" customFormat="1" x14ac:dyDescent="0.25">
      <c r="B16" s="222" t="s">
        <v>532</v>
      </c>
      <c r="C16" s="223"/>
      <c r="D16" s="184">
        <f>SUM(D17)</f>
        <v>215301</v>
      </c>
      <c r="E16" s="186">
        <f>SUM(E17)</f>
        <v>36342</v>
      </c>
    </row>
    <row r="17" spans="2:9" ht="31.5" x14ac:dyDescent="0.25">
      <c r="B17" s="190">
        <v>1</v>
      </c>
      <c r="C17" s="190" t="s">
        <v>168</v>
      </c>
      <c r="D17" s="211">
        <v>215301</v>
      </c>
      <c r="E17" s="211">
        <v>36342</v>
      </c>
    </row>
    <row r="18" spans="2:9" x14ac:dyDescent="0.25">
      <c r="B18" s="190"/>
      <c r="C18" s="190"/>
      <c r="D18" s="188"/>
      <c r="E18" s="188"/>
    </row>
    <row r="19" spans="2:9" s="181" customFormat="1" x14ac:dyDescent="0.25">
      <c r="B19" s="224" t="s">
        <v>533</v>
      </c>
      <c r="C19" s="224"/>
      <c r="D19" s="182">
        <f>+SUM(D20:D20)</f>
        <v>1836256</v>
      </c>
      <c r="E19" s="183">
        <f>SUM(E20)</f>
        <v>126000</v>
      </c>
    </row>
    <row r="20" spans="2:9" ht="47.25" x14ac:dyDescent="0.25">
      <c r="B20" s="190">
        <v>1</v>
      </c>
      <c r="C20" s="190" t="s">
        <v>534</v>
      </c>
      <c r="D20" s="188">
        <v>1836256</v>
      </c>
      <c r="E20" s="188">
        <v>126000</v>
      </c>
    </row>
    <row r="21" spans="2:9" x14ac:dyDescent="0.25">
      <c r="B21" s="190"/>
      <c r="C21" s="190"/>
      <c r="D21" s="188"/>
      <c r="E21" s="188"/>
    </row>
    <row r="22" spans="2:9" s="181" customFormat="1" x14ac:dyDescent="0.25">
      <c r="B22" s="224" t="s">
        <v>535</v>
      </c>
      <c r="C22" s="224"/>
      <c r="D22" s="182">
        <f>+SUM(D23:D23)</f>
        <v>174000</v>
      </c>
      <c r="E22" s="183">
        <f>SUM(E23)</f>
        <v>174000</v>
      </c>
    </row>
    <row r="23" spans="2:9" ht="94.5" x14ac:dyDescent="0.25">
      <c r="B23" s="190">
        <v>1</v>
      </c>
      <c r="C23" s="190" t="s">
        <v>536</v>
      </c>
      <c r="D23" s="188">
        <v>174000</v>
      </c>
      <c r="E23" s="188">
        <v>174000</v>
      </c>
    </row>
    <row r="26" spans="2:9" s="16" customFormat="1" x14ac:dyDescent="0.25">
      <c r="B26" s="13" t="s">
        <v>631</v>
      </c>
      <c r="F26" s="62"/>
      <c r="G26" s="61"/>
    </row>
    <row r="27" spans="2:9" s="16" customFormat="1" x14ac:dyDescent="0.25">
      <c r="B27" s="13" t="s">
        <v>387</v>
      </c>
      <c r="E27" s="13"/>
      <c r="F27" s="73"/>
      <c r="G27" s="61"/>
    </row>
    <row r="28" spans="2:9" s="16" customFormat="1" x14ac:dyDescent="0.25">
      <c r="B28" s="15" t="s">
        <v>388</v>
      </c>
      <c r="E28" s="15"/>
      <c r="F28" s="63"/>
      <c r="G28" s="61"/>
    </row>
    <row r="29" spans="2:9" s="16" customFormat="1" x14ac:dyDescent="0.25">
      <c r="B29" s="15" t="s">
        <v>644</v>
      </c>
      <c r="E29" s="15"/>
      <c r="F29" s="63"/>
      <c r="G29" s="61"/>
    </row>
    <row r="30" spans="2:9" s="212" customFormat="1" ht="14.25" x14ac:dyDescent="0.2">
      <c r="B30" s="216"/>
      <c r="E30" s="216"/>
      <c r="F30" s="217"/>
      <c r="G30" s="220"/>
    </row>
    <row r="31" spans="2:9" s="16" customFormat="1" x14ac:dyDescent="0.25">
      <c r="B31" s="16" t="s">
        <v>201</v>
      </c>
      <c r="G31" s="61"/>
    </row>
    <row r="32" spans="2:9" s="14" customFormat="1" x14ac:dyDescent="0.25">
      <c r="B32" s="191" t="s">
        <v>306</v>
      </c>
      <c r="C32" s="193"/>
      <c r="D32" s="193"/>
      <c r="E32" s="193"/>
      <c r="F32" s="194"/>
      <c r="G32" s="194"/>
      <c r="H32" s="194"/>
      <c r="I32" s="194"/>
    </row>
    <row r="33" spans="2:9" s="197" customFormat="1" x14ac:dyDescent="0.25">
      <c r="B33" s="192" t="s">
        <v>537</v>
      </c>
      <c r="C33" s="195"/>
      <c r="D33" s="195"/>
      <c r="E33" s="195"/>
      <c r="F33" s="196"/>
      <c r="G33" s="196"/>
      <c r="H33" s="196"/>
      <c r="I33" s="196"/>
    </row>
    <row r="34" spans="2:9" s="79" customFormat="1" x14ac:dyDescent="0.25">
      <c r="B34" s="191"/>
      <c r="C34" s="198"/>
      <c r="D34" s="198"/>
      <c r="E34" s="198"/>
      <c r="F34" s="199"/>
      <c r="G34" s="199"/>
      <c r="H34" s="199"/>
      <c r="I34" s="199"/>
    </row>
    <row r="35" spans="2:9" s="14" customFormat="1" x14ac:dyDescent="0.25">
      <c r="B35" s="191" t="s">
        <v>308</v>
      </c>
      <c r="C35" s="193"/>
      <c r="D35" s="193"/>
      <c r="E35" s="194"/>
      <c r="F35" s="194"/>
      <c r="G35" s="194"/>
      <c r="H35" s="194"/>
    </row>
    <row r="36" spans="2:9" s="197" customFormat="1" x14ac:dyDescent="0.25">
      <c r="B36" s="192" t="s">
        <v>538</v>
      </c>
      <c r="C36" s="195"/>
      <c r="D36" s="195"/>
      <c r="E36" s="196"/>
      <c r="F36" s="196"/>
      <c r="G36" s="196"/>
      <c r="H36" s="196"/>
    </row>
    <row r="37" spans="2:9" s="197" customFormat="1" x14ac:dyDescent="0.25">
      <c r="B37" s="192"/>
      <c r="C37" s="195"/>
      <c r="D37" s="195"/>
      <c r="E37" s="196"/>
      <c r="F37" s="196"/>
      <c r="G37" s="196"/>
      <c r="H37" s="196"/>
    </row>
    <row r="38" spans="2:9" s="197" customFormat="1" x14ac:dyDescent="0.25">
      <c r="B38" s="78" t="s">
        <v>204</v>
      </c>
      <c r="C38" s="65"/>
      <c r="D38" s="65"/>
      <c r="E38" s="65"/>
      <c r="F38" s="200"/>
      <c r="G38" s="200"/>
      <c r="H38" s="200"/>
      <c r="I38" s="200"/>
    </row>
    <row r="39" spans="2:9" x14ac:dyDescent="0.25">
      <c r="B39" s="201" t="s">
        <v>539</v>
      </c>
    </row>
  </sheetData>
  <mergeCells count="12">
    <mergeCell ref="B10:C10"/>
    <mergeCell ref="D4:E4"/>
    <mergeCell ref="B5:E5"/>
    <mergeCell ref="B7:B8"/>
    <mergeCell ref="C7:C8"/>
    <mergeCell ref="D7:D8"/>
    <mergeCell ref="B11:C11"/>
    <mergeCell ref="B12:C12"/>
    <mergeCell ref="B19:C19"/>
    <mergeCell ref="B22:C22"/>
    <mergeCell ref="B15:C15"/>
    <mergeCell ref="B16:C16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8"/>
  <sheetViews>
    <sheetView workbookViewId="0">
      <selection activeCell="M11" sqref="M11"/>
    </sheetView>
  </sheetViews>
  <sheetFormatPr defaultRowHeight="15.75" x14ac:dyDescent="0.25"/>
  <cols>
    <col min="1" max="1" width="3.28515625" style="332" customWidth="1"/>
    <col min="2" max="2" width="16.42578125" style="335" customWidth="1"/>
    <col min="3" max="3" width="23.28515625" style="335" customWidth="1"/>
    <col min="4" max="4" width="12.42578125" style="335" customWidth="1"/>
    <col min="5" max="5" width="13" style="335" customWidth="1"/>
    <col min="6" max="6" width="12.140625" style="331" customWidth="1"/>
    <col min="7" max="7" width="11.28515625" style="331" customWidth="1"/>
    <col min="8" max="8" width="11.7109375" style="331" customWidth="1"/>
    <col min="9" max="9" width="14" style="331" customWidth="1"/>
    <col min="10" max="10" width="11.42578125" style="331" customWidth="1"/>
    <col min="11" max="11" width="10.7109375" style="335" customWidth="1"/>
    <col min="12" max="12" width="11.28515625" style="331" customWidth="1"/>
    <col min="13" max="13" width="11.7109375" style="331" customWidth="1"/>
    <col min="14" max="14" width="10.85546875" style="336" customWidth="1"/>
    <col min="15" max="15" width="11.28515625" style="331" customWidth="1"/>
    <col min="16" max="16" width="14.28515625" style="331" customWidth="1"/>
    <col min="17" max="19" width="9.140625" style="332" customWidth="1"/>
    <col min="20" max="16384" width="9.140625" style="332"/>
  </cols>
  <sheetData>
    <row r="1" spans="1:16" s="320" customFormat="1" ht="18.75" x14ac:dyDescent="0.3">
      <c r="B1" s="321"/>
      <c r="C1" s="321"/>
      <c r="D1" s="321"/>
      <c r="E1" s="321"/>
      <c r="F1" s="322"/>
      <c r="G1" s="322"/>
      <c r="H1" s="322"/>
      <c r="I1" s="322"/>
      <c r="J1" s="322"/>
      <c r="K1" s="321"/>
      <c r="M1" s="322"/>
      <c r="N1" s="323" t="s">
        <v>587</v>
      </c>
      <c r="P1" s="322"/>
    </row>
    <row r="6" spans="1:16" s="324" customFormat="1" ht="20.25" x14ac:dyDescent="0.3">
      <c r="B6" s="325" t="s">
        <v>588</v>
      </c>
      <c r="E6" s="326"/>
      <c r="F6" s="325"/>
      <c r="G6" s="325"/>
      <c r="H6" s="325"/>
      <c r="I6" s="325"/>
      <c r="J6" s="325"/>
      <c r="K6" s="326"/>
      <c r="L6" s="325"/>
      <c r="M6" s="325"/>
      <c r="N6" s="325"/>
      <c r="O6" s="325"/>
      <c r="P6" s="325"/>
    </row>
    <row r="10" spans="1:16" ht="44.25" customHeight="1" x14ac:dyDescent="0.25">
      <c r="A10" s="327" t="s">
        <v>589</v>
      </c>
      <c r="B10" s="328"/>
      <c r="C10" s="328"/>
      <c r="D10" s="329"/>
      <c r="E10"/>
      <c r="F10"/>
      <c r="G10" s="330"/>
      <c r="H10" s="330"/>
      <c r="I10" s="330"/>
      <c r="J10" s="330"/>
      <c r="K10" s="330"/>
      <c r="L10" s="330"/>
      <c r="N10" s="332"/>
      <c r="O10" s="332"/>
    </row>
    <row r="11" spans="1:16" ht="89.25" customHeight="1" x14ac:dyDescent="0.25">
      <c r="A11" s="327" t="s">
        <v>590</v>
      </c>
      <c r="B11" s="329"/>
      <c r="C11" s="333" t="s">
        <v>647</v>
      </c>
      <c r="D11" s="333"/>
      <c r="E11" s="334"/>
      <c r="F11" s="334"/>
    </row>
    <row r="12" spans="1:16" ht="23.25" x14ac:dyDescent="0.25">
      <c r="A12" s="337">
        <f>623156</f>
        <v>623156</v>
      </c>
      <c r="B12" s="338"/>
      <c r="C12" s="339">
        <v>93473</v>
      </c>
      <c r="D12" s="339"/>
      <c r="E12" s="340"/>
      <c r="F12" s="334"/>
    </row>
    <row r="13" spans="1:16" ht="23.25" x14ac:dyDescent="0.35">
      <c r="A13" s="341" t="s">
        <v>648</v>
      </c>
      <c r="B13" s="341"/>
      <c r="C13" s="341"/>
      <c r="D13" s="341"/>
    </row>
    <row r="14" spans="1:16" ht="23.25" x14ac:dyDescent="0.35">
      <c r="A14" s="342">
        <f>C32</f>
        <v>202045</v>
      </c>
      <c r="B14" s="343"/>
      <c r="C14" s="341">
        <v>0</v>
      </c>
      <c r="D14" s="341"/>
    </row>
    <row r="15" spans="1:16" ht="23.25" x14ac:dyDescent="0.25">
      <c r="A15" s="344" t="s">
        <v>649</v>
      </c>
      <c r="B15" s="344"/>
      <c r="C15" s="344"/>
      <c r="D15" s="344"/>
    </row>
    <row r="16" spans="1:16" ht="23.25" x14ac:dyDescent="0.35">
      <c r="A16" s="342">
        <f>A12-A14</f>
        <v>421111</v>
      </c>
      <c r="B16" s="343"/>
      <c r="C16" s="345">
        <f>C12-C14</f>
        <v>93473</v>
      </c>
      <c r="D16" s="341"/>
    </row>
    <row r="18" spans="2:24" ht="63" x14ac:dyDescent="0.25">
      <c r="B18" s="346" t="s">
        <v>591</v>
      </c>
      <c r="C18" s="346" t="s">
        <v>592</v>
      </c>
      <c r="D18" s="347" t="s">
        <v>593</v>
      </c>
      <c r="E18" s="347" t="s">
        <v>594</v>
      </c>
      <c r="F18" s="348" t="s">
        <v>595</v>
      </c>
      <c r="G18" s="348" t="s">
        <v>596</v>
      </c>
      <c r="H18" s="348" t="s">
        <v>597</v>
      </c>
      <c r="I18" s="348" t="s">
        <v>598</v>
      </c>
      <c r="J18" s="348" t="s">
        <v>599</v>
      </c>
      <c r="K18" s="348" t="s">
        <v>600</v>
      </c>
      <c r="L18" s="348" t="s">
        <v>601</v>
      </c>
      <c r="M18" s="348" t="s">
        <v>602</v>
      </c>
      <c r="N18" s="348" t="s">
        <v>603</v>
      </c>
      <c r="O18" s="348" t="s">
        <v>604</v>
      </c>
      <c r="P18" s="349" t="s">
        <v>605</v>
      </c>
      <c r="Q18" s="350"/>
      <c r="R18" s="350"/>
      <c r="S18" s="350"/>
      <c r="T18" s="350"/>
      <c r="U18" s="350"/>
      <c r="V18" s="350"/>
      <c r="W18" s="350"/>
      <c r="X18" s="350"/>
    </row>
    <row r="19" spans="2:24" ht="99.75" x14ac:dyDescent="0.3">
      <c r="B19" s="351" t="s">
        <v>606</v>
      </c>
      <c r="C19" s="352" t="s">
        <v>607</v>
      </c>
      <c r="D19" s="353">
        <f>6386+32254</f>
        <v>38640</v>
      </c>
      <c r="E19" s="353">
        <v>0</v>
      </c>
      <c r="F19" s="353">
        <v>15597</v>
      </c>
      <c r="G19" s="353">
        <v>0</v>
      </c>
      <c r="H19" s="353">
        <v>0</v>
      </c>
      <c r="I19" s="353">
        <v>0</v>
      </c>
      <c r="J19" s="353">
        <v>0</v>
      </c>
      <c r="K19" s="353">
        <v>0</v>
      </c>
      <c r="L19" s="353">
        <v>0</v>
      </c>
      <c r="M19" s="353">
        <v>0</v>
      </c>
      <c r="N19" s="353">
        <v>0</v>
      </c>
      <c r="O19" s="353">
        <v>0</v>
      </c>
      <c r="P19" s="353">
        <v>0</v>
      </c>
    </row>
    <row r="20" spans="2:24" ht="66.75" x14ac:dyDescent="0.3">
      <c r="B20" s="351" t="s">
        <v>608</v>
      </c>
      <c r="C20" s="354" t="s">
        <v>609</v>
      </c>
      <c r="D20" s="355">
        <f>6920+343</f>
        <v>7263</v>
      </c>
      <c r="E20" s="355">
        <v>0</v>
      </c>
      <c r="F20" s="355">
        <v>0</v>
      </c>
      <c r="G20" s="355">
        <v>0</v>
      </c>
      <c r="H20" s="355">
        <v>0</v>
      </c>
      <c r="I20" s="355">
        <v>0</v>
      </c>
      <c r="J20" s="355">
        <v>0</v>
      </c>
      <c r="K20" s="355">
        <v>0</v>
      </c>
      <c r="L20" s="355">
        <v>0</v>
      </c>
      <c r="M20" s="355">
        <v>0</v>
      </c>
      <c r="N20" s="355">
        <v>0</v>
      </c>
      <c r="O20" s="355">
        <v>0</v>
      </c>
      <c r="P20" s="355">
        <v>0</v>
      </c>
    </row>
    <row r="21" spans="2:24" ht="66.75" x14ac:dyDescent="0.3">
      <c r="B21" s="351" t="s">
        <v>610</v>
      </c>
      <c r="C21" s="352" t="s">
        <v>611</v>
      </c>
      <c r="D21" s="355">
        <f>2117+7853</f>
        <v>9970</v>
      </c>
      <c r="E21" s="355">
        <v>0</v>
      </c>
      <c r="F21" s="355">
        <v>3711</v>
      </c>
      <c r="G21" s="355">
        <v>0</v>
      </c>
      <c r="H21" s="355">
        <v>0</v>
      </c>
      <c r="I21" s="355">
        <v>0</v>
      </c>
      <c r="J21" s="355">
        <v>0</v>
      </c>
      <c r="K21" s="355">
        <v>0</v>
      </c>
      <c r="L21" s="355">
        <v>0</v>
      </c>
      <c r="M21" s="355">
        <v>0</v>
      </c>
      <c r="N21" s="355">
        <v>0</v>
      </c>
      <c r="O21" s="355">
        <v>0</v>
      </c>
      <c r="P21" s="355">
        <v>0</v>
      </c>
    </row>
    <row r="22" spans="2:24" ht="18.75" x14ac:dyDescent="0.3">
      <c r="B22" s="351" t="s">
        <v>612</v>
      </c>
      <c r="C22" s="356" t="s">
        <v>613</v>
      </c>
      <c r="D22" s="355">
        <f t="shared" ref="D22:P22" si="0">SUM(D23:D28)</f>
        <v>10248</v>
      </c>
      <c r="E22" s="355">
        <f t="shared" si="0"/>
        <v>59146</v>
      </c>
      <c r="F22" s="355">
        <f t="shared" si="0"/>
        <v>16383</v>
      </c>
      <c r="G22" s="355">
        <f t="shared" si="0"/>
        <v>3364</v>
      </c>
      <c r="H22" s="355">
        <f t="shared" si="0"/>
        <v>1734</v>
      </c>
      <c r="I22" s="355">
        <f t="shared" si="0"/>
        <v>489</v>
      </c>
      <c r="J22" s="355">
        <f t="shared" si="0"/>
        <v>528</v>
      </c>
      <c r="K22" s="355">
        <f t="shared" si="0"/>
        <v>3445</v>
      </c>
      <c r="L22" s="355">
        <f t="shared" si="0"/>
        <v>528</v>
      </c>
      <c r="M22" s="355">
        <f t="shared" si="0"/>
        <v>402</v>
      </c>
      <c r="N22" s="355">
        <f t="shared" si="0"/>
        <v>184</v>
      </c>
      <c r="O22" s="355">
        <f t="shared" si="0"/>
        <v>565</v>
      </c>
      <c r="P22" s="355">
        <f t="shared" si="0"/>
        <v>553</v>
      </c>
    </row>
    <row r="23" spans="2:24" ht="18.75" x14ac:dyDescent="0.3">
      <c r="B23" s="357" t="s">
        <v>614</v>
      </c>
      <c r="C23" s="357" t="s">
        <v>615</v>
      </c>
      <c r="D23" s="358"/>
      <c r="E23" s="358"/>
      <c r="F23" s="359">
        <v>10349</v>
      </c>
      <c r="G23" s="359"/>
      <c r="H23" s="359"/>
      <c r="I23" s="359"/>
      <c r="J23" s="359"/>
      <c r="K23" s="358"/>
      <c r="L23" s="359"/>
      <c r="M23" s="359"/>
      <c r="N23" s="353"/>
      <c r="O23" s="359"/>
      <c r="P23" s="359"/>
    </row>
    <row r="24" spans="2:24" ht="18.75" x14ac:dyDescent="0.3">
      <c r="B24" s="357" t="s">
        <v>616</v>
      </c>
      <c r="C24" s="357" t="s">
        <v>617</v>
      </c>
      <c r="D24" s="358">
        <f>301</f>
        <v>301</v>
      </c>
      <c r="E24" s="358"/>
      <c r="F24" s="360"/>
      <c r="G24" s="359"/>
      <c r="H24" s="359"/>
      <c r="I24" s="359"/>
      <c r="J24" s="359"/>
      <c r="K24" s="358"/>
      <c r="L24" s="360"/>
      <c r="M24" s="359"/>
      <c r="N24" s="353"/>
      <c r="O24" s="359"/>
      <c r="P24" s="359"/>
    </row>
    <row r="25" spans="2:24" ht="56.25" x14ac:dyDescent="0.3">
      <c r="B25" s="357" t="s">
        <v>618</v>
      </c>
      <c r="C25" s="361" t="s">
        <v>619</v>
      </c>
      <c r="D25" s="358">
        <v>859</v>
      </c>
      <c r="E25" s="358">
        <v>3479</v>
      </c>
      <c r="F25" s="360">
        <v>2685</v>
      </c>
      <c r="G25" s="360">
        <f>1419</f>
        <v>1419</v>
      </c>
      <c r="H25" s="359"/>
      <c r="I25" s="359"/>
      <c r="J25" s="359"/>
      <c r="K25" s="358">
        <v>510</v>
      </c>
      <c r="L25" s="360"/>
      <c r="M25" s="360"/>
      <c r="N25" s="353"/>
      <c r="O25" s="359"/>
      <c r="P25" s="359"/>
    </row>
    <row r="26" spans="2:24" ht="18.75" x14ac:dyDescent="0.3">
      <c r="B26" s="357" t="s">
        <v>620</v>
      </c>
      <c r="C26" s="357" t="s">
        <v>621</v>
      </c>
      <c r="D26" s="358">
        <v>8887</v>
      </c>
      <c r="E26" s="358">
        <v>55667</v>
      </c>
      <c r="F26" s="360">
        <f>1429+471</f>
        <v>1900</v>
      </c>
      <c r="G26" s="360">
        <f>1471+474</f>
        <v>1945</v>
      </c>
      <c r="H26" s="359">
        <v>1734</v>
      </c>
      <c r="I26" s="359">
        <v>489</v>
      </c>
      <c r="J26" s="359">
        <v>528</v>
      </c>
      <c r="K26" s="358">
        <v>2935</v>
      </c>
      <c r="L26" s="360">
        <v>528</v>
      </c>
      <c r="M26" s="360">
        <v>402</v>
      </c>
      <c r="N26" s="359">
        <v>184</v>
      </c>
      <c r="O26" s="362">
        <v>565</v>
      </c>
      <c r="P26" s="359">
        <v>553</v>
      </c>
    </row>
    <row r="27" spans="2:24" ht="37.5" x14ac:dyDescent="0.3">
      <c r="B27" s="357" t="s">
        <v>622</v>
      </c>
      <c r="C27" s="363" t="s">
        <v>623</v>
      </c>
      <c r="D27" s="358">
        <v>201</v>
      </c>
      <c r="E27" s="358"/>
      <c r="F27" s="360">
        <v>794</v>
      </c>
      <c r="G27" s="360"/>
      <c r="H27" s="359"/>
      <c r="I27" s="359"/>
      <c r="J27" s="359"/>
      <c r="K27" s="358"/>
      <c r="L27" s="360"/>
      <c r="M27" s="360"/>
      <c r="N27" s="353"/>
      <c r="O27" s="359"/>
      <c r="P27" s="359"/>
    </row>
    <row r="28" spans="2:24" ht="37.5" x14ac:dyDescent="0.3">
      <c r="B28" s="357" t="s">
        <v>624</v>
      </c>
      <c r="C28" s="363" t="s">
        <v>625</v>
      </c>
      <c r="D28" s="358"/>
      <c r="E28" s="358"/>
      <c r="F28" s="360">
        <v>655</v>
      </c>
      <c r="G28" s="359"/>
      <c r="H28" s="359"/>
      <c r="I28" s="359"/>
      <c r="J28" s="359"/>
      <c r="K28" s="358"/>
      <c r="L28" s="360"/>
      <c r="M28" s="359"/>
      <c r="N28" s="353"/>
      <c r="O28" s="359"/>
      <c r="P28" s="359"/>
    </row>
    <row r="29" spans="2:24" ht="18.75" x14ac:dyDescent="0.3">
      <c r="B29" s="364" t="s">
        <v>626</v>
      </c>
      <c r="C29" s="365">
        <f>SUM(D29:P29)</f>
        <v>172750</v>
      </c>
      <c r="D29" s="355">
        <f t="shared" ref="D29:P29" si="1">SUM(D19,D20,D21,D22,)</f>
        <v>66121</v>
      </c>
      <c r="E29" s="355">
        <f t="shared" si="1"/>
        <v>59146</v>
      </c>
      <c r="F29" s="355">
        <f t="shared" si="1"/>
        <v>35691</v>
      </c>
      <c r="G29" s="355">
        <f t="shared" si="1"/>
        <v>3364</v>
      </c>
      <c r="H29" s="355">
        <f t="shared" si="1"/>
        <v>1734</v>
      </c>
      <c r="I29" s="355">
        <f t="shared" si="1"/>
        <v>489</v>
      </c>
      <c r="J29" s="355">
        <f t="shared" si="1"/>
        <v>528</v>
      </c>
      <c r="K29" s="355">
        <f t="shared" si="1"/>
        <v>3445</v>
      </c>
      <c r="L29" s="355">
        <f t="shared" si="1"/>
        <v>528</v>
      </c>
      <c r="M29" s="355">
        <f t="shared" si="1"/>
        <v>402</v>
      </c>
      <c r="N29" s="355">
        <f t="shared" si="1"/>
        <v>184</v>
      </c>
      <c r="O29" s="355">
        <f t="shared" si="1"/>
        <v>565</v>
      </c>
      <c r="P29" s="355">
        <f t="shared" si="1"/>
        <v>553</v>
      </c>
    </row>
    <row r="30" spans="2:24" ht="66.75" x14ac:dyDescent="0.3">
      <c r="B30" s="351" t="s">
        <v>627</v>
      </c>
      <c r="C30" s="352" t="s">
        <v>628</v>
      </c>
      <c r="D30" s="355">
        <v>0</v>
      </c>
      <c r="E30" s="355">
        <v>0</v>
      </c>
      <c r="F30" s="353">
        <v>29295</v>
      </c>
      <c r="G30" s="353">
        <v>0</v>
      </c>
      <c r="H30" s="353">
        <v>0</v>
      </c>
      <c r="I30" s="353">
        <v>0</v>
      </c>
      <c r="J30" s="353">
        <v>0</v>
      </c>
      <c r="K30" s="355">
        <v>0</v>
      </c>
      <c r="L30" s="353">
        <v>0</v>
      </c>
      <c r="M30" s="353">
        <v>0</v>
      </c>
      <c r="N30" s="353">
        <v>0</v>
      </c>
      <c r="O30" s="353">
        <v>0</v>
      </c>
      <c r="P30" s="353">
        <v>0</v>
      </c>
    </row>
    <row r="31" spans="2:24" ht="37.5" x14ac:dyDescent="0.3">
      <c r="B31" s="366" t="s">
        <v>629</v>
      </c>
      <c r="C31" s="367">
        <f>SUM(D31:P31)</f>
        <v>29295</v>
      </c>
      <c r="D31" s="355">
        <f>SUM(D30)</f>
        <v>0</v>
      </c>
      <c r="E31" s="355">
        <f t="shared" ref="E31:P31" si="2">SUM(E30)</f>
        <v>0</v>
      </c>
      <c r="F31" s="355">
        <f t="shared" si="2"/>
        <v>29295</v>
      </c>
      <c r="G31" s="355">
        <f t="shared" si="2"/>
        <v>0</v>
      </c>
      <c r="H31" s="355">
        <f t="shared" si="2"/>
        <v>0</v>
      </c>
      <c r="I31" s="355">
        <f t="shared" si="2"/>
        <v>0</v>
      </c>
      <c r="J31" s="355">
        <f t="shared" si="2"/>
        <v>0</v>
      </c>
      <c r="K31" s="355">
        <f t="shared" si="2"/>
        <v>0</v>
      </c>
      <c r="L31" s="355">
        <f t="shared" si="2"/>
        <v>0</v>
      </c>
      <c r="M31" s="355">
        <f t="shared" si="2"/>
        <v>0</v>
      </c>
      <c r="N31" s="355">
        <f t="shared" si="2"/>
        <v>0</v>
      </c>
      <c r="O31" s="355">
        <f t="shared" si="2"/>
        <v>0</v>
      </c>
      <c r="P31" s="355">
        <f t="shared" si="2"/>
        <v>0</v>
      </c>
    </row>
    <row r="32" spans="2:24" ht="37.5" x14ac:dyDescent="0.3">
      <c r="B32" s="368" t="s">
        <v>630</v>
      </c>
      <c r="C32" s="367">
        <f>SUM(D32:P32)</f>
        <v>202045</v>
      </c>
      <c r="D32" s="369">
        <f t="shared" ref="D32:P32" si="3">SUM(D29+D31)</f>
        <v>66121</v>
      </c>
      <c r="E32" s="369">
        <f t="shared" si="3"/>
        <v>59146</v>
      </c>
      <c r="F32" s="370">
        <f t="shared" si="3"/>
        <v>64986</v>
      </c>
      <c r="G32" s="370">
        <f t="shared" si="3"/>
        <v>3364</v>
      </c>
      <c r="H32" s="370">
        <f t="shared" si="3"/>
        <v>1734</v>
      </c>
      <c r="I32" s="370">
        <f t="shared" si="3"/>
        <v>489</v>
      </c>
      <c r="J32" s="370">
        <f t="shared" si="3"/>
        <v>528</v>
      </c>
      <c r="K32" s="369">
        <f t="shared" si="3"/>
        <v>3445</v>
      </c>
      <c r="L32" s="370">
        <f t="shared" si="3"/>
        <v>528</v>
      </c>
      <c r="M32" s="370">
        <f t="shared" si="3"/>
        <v>402</v>
      </c>
      <c r="N32" s="370">
        <f t="shared" si="3"/>
        <v>184</v>
      </c>
      <c r="O32" s="370">
        <f t="shared" si="3"/>
        <v>565</v>
      </c>
      <c r="P32" s="370">
        <f t="shared" si="3"/>
        <v>553</v>
      </c>
    </row>
    <row r="34" spans="2:8" s="212" customFormat="1" ht="14.25" x14ac:dyDescent="0.2">
      <c r="B34" s="212" t="s">
        <v>631</v>
      </c>
      <c r="H34" s="213"/>
    </row>
    <row r="35" spans="2:8" s="132" customFormat="1" ht="15" x14ac:dyDescent="0.25">
      <c r="B35" s="132" t="s">
        <v>387</v>
      </c>
      <c r="G35" s="214"/>
      <c r="H35" s="215"/>
    </row>
    <row r="36" spans="2:8" s="212" customFormat="1" ht="14.25" x14ac:dyDescent="0.2">
      <c r="B36" s="216" t="s">
        <v>388</v>
      </c>
      <c r="F36" s="216"/>
      <c r="G36" s="217"/>
      <c r="H36" s="213"/>
    </row>
    <row r="37" spans="2:8" s="212" customFormat="1" ht="14.25" x14ac:dyDescent="0.2">
      <c r="B37" s="216" t="s">
        <v>632</v>
      </c>
      <c r="F37" s="216"/>
      <c r="G37" s="217"/>
      <c r="H37" s="213"/>
    </row>
    <row r="38" spans="2:8" s="16" customFormat="1" x14ac:dyDescent="0.25">
      <c r="B38" s="15"/>
      <c r="F38" s="15"/>
      <c r="G38" s="15"/>
      <c r="H38" s="61"/>
    </row>
    <row r="39" spans="2:8" s="16" customFormat="1" x14ac:dyDescent="0.25">
      <c r="B39" s="16" t="s">
        <v>201</v>
      </c>
      <c r="H39" s="61"/>
    </row>
    <row r="40" spans="2:8" s="16" customFormat="1" x14ac:dyDescent="0.25">
      <c r="B40" s="13" t="s">
        <v>306</v>
      </c>
      <c r="F40" s="64"/>
      <c r="G40" s="86"/>
      <c r="H40" s="61"/>
    </row>
    <row r="41" spans="2:8" s="16" customFormat="1" x14ac:dyDescent="0.25">
      <c r="B41" s="15" t="s">
        <v>307</v>
      </c>
      <c r="F41" s="65"/>
      <c r="G41" s="87"/>
      <c r="H41" s="61"/>
    </row>
    <row r="42" spans="2:8" s="16" customFormat="1" x14ac:dyDescent="0.25">
      <c r="H42" s="61"/>
    </row>
    <row r="43" spans="2:8" s="16" customFormat="1" x14ac:dyDescent="0.25">
      <c r="B43" s="13" t="s">
        <v>308</v>
      </c>
      <c r="H43" s="61"/>
    </row>
    <row r="44" spans="2:8" s="16" customFormat="1" x14ac:dyDescent="0.25">
      <c r="B44" s="15" t="s">
        <v>309</v>
      </c>
      <c r="H44" s="61"/>
    </row>
    <row r="45" spans="2:8" s="16" customFormat="1" x14ac:dyDescent="0.25">
      <c r="H45" s="61"/>
    </row>
    <row r="46" spans="2:8" s="16" customFormat="1" x14ac:dyDescent="0.25">
      <c r="B46" s="66" t="s">
        <v>204</v>
      </c>
      <c r="H46" s="61"/>
    </row>
    <row r="47" spans="2:8" s="16" customFormat="1" x14ac:dyDescent="0.25">
      <c r="B47" s="67" t="s">
        <v>633</v>
      </c>
      <c r="H47" s="61"/>
    </row>
    <row r="48" spans="2:8" s="16" customFormat="1" x14ac:dyDescent="0.25">
      <c r="B48" s="15" t="s">
        <v>634</v>
      </c>
      <c r="H48" s="61"/>
    </row>
  </sheetData>
  <mergeCells count="11">
    <mergeCell ref="A14:B14"/>
    <mergeCell ref="C14:D14"/>
    <mergeCell ref="A15:D15"/>
    <mergeCell ref="A16:B16"/>
    <mergeCell ref="C16:D16"/>
    <mergeCell ref="A10:D10"/>
    <mergeCell ref="A11:B11"/>
    <mergeCell ref="C11:D11"/>
    <mergeCell ref="A12:B12"/>
    <mergeCell ref="C12:D12"/>
    <mergeCell ref="A13:D13"/>
  </mergeCells>
  <dataValidations count="1">
    <dataValidation type="whole" operator="greaterThanOrEqual" allowBlank="1" showInputMessage="1" showErrorMessage="1" error="Въвежда се цяло положително число!" sqref="O26">
      <formula1>0</formula1>
    </dataValidation>
  </dataValidations>
  <pageMargins left="0" right="0" top="0" bottom="0" header="0.31496062992125984" footer="0.31496062992125984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Q36"/>
  <sheetViews>
    <sheetView workbookViewId="0">
      <selection activeCell="B19" sqref="B19"/>
    </sheetView>
  </sheetViews>
  <sheetFormatPr defaultRowHeight="15.75" x14ac:dyDescent="0.25"/>
  <cols>
    <col min="1" max="1" width="70.5703125" style="16" customWidth="1"/>
    <col min="2" max="2" width="15.7109375" style="16" customWidth="1"/>
    <col min="3" max="16384" width="9.140625" style="16"/>
  </cols>
  <sheetData>
    <row r="3" spans="1:2" s="2" customFormat="1" x14ac:dyDescent="0.25">
      <c r="A3" s="1" t="s">
        <v>1</v>
      </c>
      <c r="B3" s="77" t="s">
        <v>392</v>
      </c>
    </row>
    <row r="4" spans="1:2" s="4" customFormat="1" x14ac:dyDescent="0.25">
      <c r="A4" s="8" t="s">
        <v>231</v>
      </c>
      <c r="B4" s="7">
        <v>-10519</v>
      </c>
    </row>
    <row r="5" spans="1:2" s="4" customFormat="1" ht="31.5" x14ac:dyDescent="0.25">
      <c r="A5" s="8" t="s">
        <v>476</v>
      </c>
      <c r="B5" s="7">
        <v>68103</v>
      </c>
    </row>
    <row r="6" spans="1:2" s="4" customFormat="1" ht="31.5" x14ac:dyDescent="0.25">
      <c r="A6" s="9" t="s">
        <v>638</v>
      </c>
      <c r="B6" s="7">
        <v>0</v>
      </c>
    </row>
    <row r="7" spans="1:2" s="4" customFormat="1" ht="31.5" x14ac:dyDescent="0.25">
      <c r="A7" s="10" t="s">
        <v>424</v>
      </c>
      <c r="B7" s="7">
        <v>-42430</v>
      </c>
    </row>
    <row r="8" spans="1:2" s="4" customFormat="1" ht="31.5" x14ac:dyDescent="0.25">
      <c r="A8" s="11" t="s">
        <v>545</v>
      </c>
      <c r="B8" s="7">
        <v>36432</v>
      </c>
    </row>
    <row r="9" spans="1:2" s="4" customFormat="1" x14ac:dyDescent="0.25">
      <c r="A9" s="11" t="s">
        <v>546</v>
      </c>
      <c r="B9" s="7">
        <v>60490</v>
      </c>
    </row>
    <row r="10" spans="1:2" s="4" customFormat="1" x14ac:dyDescent="0.25">
      <c r="A10" s="9" t="s">
        <v>642</v>
      </c>
      <c r="B10" s="7">
        <v>0</v>
      </c>
    </row>
    <row r="11" spans="1:2" s="4" customFormat="1" x14ac:dyDescent="0.25">
      <c r="A11" s="11" t="s">
        <v>561</v>
      </c>
      <c r="B11" s="7">
        <v>24950</v>
      </c>
    </row>
    <row r="12" spans="1:2" s="4" customFormat="1" ht="47.25" x14ac:dyDescent="0.25">
      <c r="A12" s="9" t="s">
        <v>639</v>
      </c>
      <c r="B12" s="7">
        <v>0</v>
      </c>
    </row>
    <row r="13" spans="1:2" s="4" customFormat="1" ht="31.5" x14ac:dyDescent="0.25">
      <c r="A13" s="12" t="s">
        <v>92</v>
      </c>
      <c r="B13" s="7">
        <v>-375878</v>
      </c>
    </row>
    <row r="14" spans="1:2" s="4" customFormat="1" x14ac:dyDescent="0.25">
      <c r="A14" s="6" t="s">
        <v>563</v>
      </c>
      <c r="B14" s="7">
        <v>648</v>
      </c>
    </row>
    <row r="15" spans="1:2" s="4" customFormat="1" x14ac:dyDescent="0.25">
      <c r="A15" s="6" t="s">
        <v>104</v>
      </c>
      <c r="B15" s="7">
        <v>-522</v>
      </c>
    </row>
    <row r="16" spans="1:2" s="4" customFormat="1" x14ac:dyDescent="0.25">
      <c r="A16" s="6" t="s">
        <v>547</v>
      </c>
      <c r="B16" s="7">
        <v>4140</v>
      </c>
    </row>
    <row r="17" spans="1:147" s="4" customFormat="1" ht="31.5" x14ac:dyDescent="0.25">
      <c r="A17" s="6" t="s">
        <v>564</v>
      </c>
      <c r="B17" s="7">
        <v>1700</v>
      </c>
    </row>
    <row r="18" spans="1:147" s="4" customFormat="1" ht="31.5" x14ac:dyDescent="0.25">
      <c r="A18" s="6" t="s">
        <v>565</v>
      </c>
      <c r="B18" s="7">
        <v>4238</v>
      </c>
    </row>
    <row r="19" spans="1:147" s="3" customFormat="1" ht="31.5" x14ac:dyDescent="0.25">
      <c r="A19" s="6" t="s">
        <v>550</v>
      </c>
      <c r="B19" s="7">
        <v>7695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</row>
    <row r="20" spans="1:147" s="3" customFormat="1" x14ac:dyDescent="0.25">
      <c r="A20" s="6" t="s">
        <v>551</v>
      </c>
      <c r="B20" s="7">
        <v>1093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</row>
    <row r="21" spans="1:147" s="4" customFormat="1" ht="31.5" x14ac:dyDescent="0.25">
      <c r="A21" s="6" t="s">
        <v>640</v>
      </c>
      <c r="B21" s="7">
        <v>0</v>
      </c>
    </row>
    <row r="22" spans="1:147" s="4" customFormat="1" x14ac:dyDescent="0.25">
      <c r="A22" s="6" t="s">
        <v>558</v>
      </c>
      <c r="B22" s="7">
        <v>4829</v>
      </c>
    </row>
    <row r="23" spans="1:147" s="4" customFormat="1" ht="31.5" x14ac:dyDescent="0.25">
      <c r="A23" s="6" t="s">
        <v>552</v>
      </c>
      <c r="B23" s="7">
        <v>1896</v>
      </c>
    </row>
    <row r="24" spans="1:147" s="4" customFormat="1" ht="31.5" x14ac:dyDescent="0.25">
      <c r="A24" s="6" t="s">
        <v>554</v>
      </c>
      <c r="B24" s="7">
        <v>5131</v>
      </c>
    </row>
    <row r="25" spans="1:147" s="4" customFormat="1" ht="31.5" x14ac:dyDescent="0.25">
      <c r="A25" s="6" t="s">
        <v>555</v>
      </c>
      <c r="B25" s="7">
        <v>5374</v>
      </c>
    </row>
    <row r="26" spans="1:147" s="4" customFormat="1" ht="31.5" x14ac:dyDescent="0.25">
      <c r="A26" s="6" t="s">
        <v>556</v>
      </c>
      <c r="B26" s="7">
        <v>13847</v>
      </c>
    </row>
    <row r="27" spans="1:147" s="4" customFormat="1" ht="31.5" x14ac:dyDescent="0.25">
      <c r="A27" s="6" t="s">
        <v>557</v>
      </c>
      <c r="B27" s="7">
        <v>14882</v>
      </c>
    </row>
    <row r="28" spans="1:147" s="4" customFormat="1" x14ac:dyDescent="0.25">
      <c r="A28" s="6" t="s">
        <v>562</v>
      </c>
      <c r="B28" s="7">
        <v>1306</v>
      </c>
    </row>
    <row r="29" spans="1:147" s="4" customFormat="1" x14ac:dyDescent="0.25">
      <c r="A29" s="11" t="s">
        <v>150</v>
      </c>
      <c r="B29" s="7">
        <v>-2</v>
      </c>
    </row>
    <row r="30" spans="1:147" s="4" customFormat="1" x14ac:dyDescent="0.25">
      <c r="A30" s="11" t="s">
        <v>488</v>
      </c>
      <c r="B30" s="7">
        <v>-1287</v>
      </c>
    </row>
    <row r="31" spans="1:147" s="4" customFormat="1" ht="31.5" x14ac:dyDescent="0.25">
      <c r="A31" s="5" t="s">
        <v>641</v>
      </c>
      <c r="B31" s="7">
        <v>0</v>
      </c>
    </row>
    <row r="32" spans="1:147" s="4" customFormat="1" x14ac:dyDescent="0.25">
      <c r="A32" s="5" t="s">
        <v>173</v>
      </c>
      <c r="B32" s="7">
        <v>-1558</v>
      </c>
    </row>
    <row r="33" spans="1:2" s="4" customFormat="1" ht="47.25" x14ac:dyDescent="0.25">
      <c r="A33" s="12" t="s">
        <v>560</v>
      </c>
      <c r="B33" s="7">
        <v>357067</v>
      </c>
    </row>
    <row r="34" spans="1:2" s="4" customFormat="1" x14ac:dyDescent="0.25">
      <c r="A34" s="6" t="s">
        <v>182</v>
      </c>
      <c r="B34" s="7">
        <v>-31400</v>
      </c>
    </row>
    <row r="35" spans="1:2" s="4" customFormat="1" x14ac:dyDescent="0.25">
      <c r="A35" s="5" t="s">
        <v>559</v>
      </c>
      <c r="B35" s="7">
        <v>1558</v>
      </c>
    </row>
    <row r="36" spans="1:2" s="13" customFormat="1" x14ac:dyDescent="0.25">
      <c r="A36" s="218" t="s">
        <v>637</v>
      </c>
      <c r="B36" s="219">
        <f>SUM(B4:B35)</f>
        <v>151783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6</vt:i4>
      </vt:variant>
      <vt:variant>
        <vt:lpstr>Наименувани диапазони</vt:lpstr>
      </vt:variant>
      <vt:variant>
        <vt:i4>2</vt:i4>
      </vt:variant>
    </vt:vector>
  </HeadingPairs>
  <TitlesOfParts>
    <vt:vector size="8" baseType="lpstr">
      <vt:lpstr>31102021</vt:lpstr>
      <vt:lpstr>Pril1_31102021</vt:lpstr>
      <vt:lpstr>Pril2-31102021</vt:lpstr>
      <vt:lpstr>pril3</vt:lpstr>
      <vt:lpstr>pril 4</vt:lpstr>
      <vt:lpstr>Лист1</vt:lpstr>
      <vt:lpstr>Pril1_31102021!Печат_заглавия</vt:lpstr>
      <vt:lpstr>'Pril2-31102021'!Печат_заглавия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Reneta Koleva</cp:lastModifiedBy>
  <cp:lastPrinted>2021-11-12T13:06:18Z</cp:lastPrinted>
  <dcterms:created xsi:type="dcterms:W3CDTF">2021-03-11T11:40:15Z</dcterms:created>
  <dcterms:modified xsi:type="dcterms:W3CDTF">2021-11-12T14:20:35Z</dcterms:modified>
</cp:coreProperties>
</file>