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1\Za VTOBS\"/>
    </mc:Choice>
  </mc:AlternateContent>
  <bookViews>
    <workbookView xWindow="0" yWindow="0" windowWidth="28800" windowHeight="11835" activeTab="2"/>
  </bookViews>
  <sheets>
    <sheet name="31032021" sheetId="2" r:id="rId1"/>
    <sheet name="Pril1" sheetId="1" r:id="rId2"/>
    <sheet name="Pril2-31003021" sheetId="4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xlfn_SUMIFS">NA()</definedName>
    <definedName name="_xlnm._FilterDatabase" localSheetId="1" hidden="1">Pril1!$A$1:$GG$342</definedName>
    <definedName name="GROUPS" localSheetId="0">[1]Groups!$A$1:$A$27</definedName>
    <definedName name="GROUPS" localSheetId="1">[2]Groups!$A$1:$A$27</definedName>
    <definedName name="GROUPS">[3]Groups!$A$1:$A$27</definedName>
    <definedName name="GROUPS2" localSheetId="0">[1]Groups!$A$1:$B$27</definedName>
    <definedName name="GROUPS2" localSheetId="1">[2]Groups!$A$1:$B$27</definedName>
    <definedName name="GROUPS2">[3]Groups!$A$1:$B$27</definedName>
    <definedName name="ll">[4]list!$A$421:$B$709</definedName>
    <definedName name="mm">[4]Groups!$A$1:$B$27</definedName>
    <definedName name="oo">[4]list!$A$281:$B$304</definedName>
    <definedName name="OP_LIST" localSheetId="0">[1]list!$A$281:$A$304</definedName>
    <definedName name="OP_LIST" localSheetId="1">[2]list!$A$281:$A$304</definedName>
    <definedName name="OP_LIST">[3]list!$A$281:$A$304</definedName>
    <definedName name="OP_LIST2" localSheetId="0">[1]list!$A$281:$B$304</definedName>
    <definedName name="OP_LIST2" localSheetId="1">[2]list!$A$281:$B$304</definedName>
    <definedName name="OP_LIST2">[3]list!$A$281:$B$304</definedName>
    <definedName name="PRBK" localSheetId="0">[1]list!$A$421:$B$709</definedName>
    <definedName name="PRBK" localSheetId="1">[2]list!$A$421:$B$709</definedName>
    <definedName name="PRBK">[3]list!$A$421:$B$709</definedName>
    <definedName name="ss">[4]list!$A$281:$B$304</definedName>
    <definedName name="в">[1]list!$A$281:$A$304</definedName>
    <definedName name="з">[5]list!$A$281:$A$304</definedName>
    <definedName name="_xlnm.Print_Titles" localSheetId="1">Pril1!$6:$6</definedName>
    <definedName name="_xlnm.Print_Titles" localSheetId="2">'Pril2-31003021'!$9:$10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4" i="1" l="1"/>
  <c r="AB164" i="1" s="1"/>
  <c r="Z164" i="1"/>
  <c r="X164" i="1"/>
  <c r="W164" i="1"/>
  <c r="U164" i="1"/>
  <c r="T164" i="1"/>
  <c r="R164" i="1"/>
  <c r="Q164" i="1"/>
  <c r="O164" i="1"/>
  <c r="N164" i="1"/>
  <c r="L164" i="1"/>
  <c r="K164" i="1"/>
  <c r="I164" i="1"/>
  <c r="H164" i="1"/>
  <c r="F164" i="1"/>
  <c r="E164" i="1"/>
  <c r="Y164" i="1" l="1"/>
  <c r="M164" i="1"/>
  <c r="S164" i="1"/>
  <c r="J164" i="1"/>
  <c r="P164" i="1"/>
  <c r="V164" i="1"/>
  <c r="D89" i="2"/>
  <c r="D76" i="2"/>
  <c r="C76" i="2" s="1"/>
  <c r="D75" i="2" l="1"/>
  <c r="E29" i="4"/>
  <c r="C29" i="4"/>
  <c r="F67" i="4" l="1"/>
  <c r="D67" i="4"/>
  <c r="F65" i="4"/>
  <c r="E65" i="4"/>
  <c r="D65" i="4"/>
  <c r="C65" i="4"/>
  <c r="F64" i="4"/>
  <c r="D64" i="4"/>
  <c r="F63" i="4"/>
  <c r="D63" i="4"/>
  <c r="F61" i="4"/>
  <c r="D61" i="4"/>
  <c r="F60" i="4"/>
  <c r="D60" i="4"/>
  <c r="F59" i="4"/>
  <c r="E59" i="4"/>
  <c r="E57" i="4" s="1"/>
  <c r="D59" i="4"/>
  <c r="C59" i="4"/>
  <c r="C57" i="4" s="1"/>
  <c r="F58" i="4"/>
  <c r="D58" i="4"/>
  <c r="F56" i="4"/>
  <c r="F55" i="4" s="1"/>
  <c r="D56" i="4"/>
  <c r="D55" i="4" s="1"/>
  <c r="E55" i="4"/>
  <c r="C55" i="4"/>
  <c r="F52" i="4"/>
  <c r="D52" i="4"/>
  <c r="F51" i="4"/>
  <c r="D51" i="4"/>
  <c r="F50" i="4"/>
  <c r="D50" i="4"/>
  <c r="F49" i="4"/>
  <c r="D49" i="4"/>
  <c r="E48" i="4"/>
  <c r="C48" i="4"/>
  <c r="F47" i="4"/>
  <c r="D47" i="4"/>
  <c r="F46" i="4"/>
  <c r="D46" i="4"/>
  <c r="F45" i="4"/>
  <c r="D45" i="4"/>
  <c r="E44" i="4"/>
  <c r="C44" i="4"/>
  <c r="F40" i="4"/>
  <c r="E40" i="4"/>
  <c r="D40" i="4"/>
  <c r="C40" i="4"/>
  <c r="F38" i="4"/>
  <c r="E38" i="4"/>
  <c r="D38" i="4"/>
  <c r="C38" i="4"/>
  <c r="F37" i="4"/>
  <c r="E37" i="4"/>
  <c r="D37" i="4"/>
  <c r="C37" i="4"/>
  <c r="F36" i="4"/>
  <c r="E36" i="4"/>
  <c r="D36" i="4"/>
  <c r="C36" i="4"/>
  <c r="F32" i="4"/>
  <c r="E32" i="4"/>
  <c r="D32" i="4"/>
  <c r="C32" i="4"/>
  <c r="E30" i="4"/>
  <c r="C30" i="4"/>
  <c r="F29" i="4"/>
  <c r="D29" i="4"/>
  <c r="F27" i="4"/>
  <c r="D27" i="4"/>
  <c r="F26" i="4"/>
  <c r="D26" i="4"/>
  <c r="F25" i="4"/>
  <c r="E25" i="4"/>
  <c r="E22" i="4" s="1"/>
  <c r="D25" i="4"/>
  <c r="C25" i="4"/>
  <c r="C22" i="4" s="1"/>
  <c r="F24" i="4"/>
  <c r="F22" i="4" s="1"/>
  <c r="D24" i="4"/>
  <c r="F20" i="4"/>
  <c r="D20" i="4"/>
  <c r="F18" i="4"/>
  <c r="E18" i="4"/>
  <c r="D18" i="4"/>
  <c r="C18" i="4"/>
  <c r="F16" i="4"/>
  <c r="E16" i="4"/>
  <c r="D16" i="4"/>
  <c r="C16" i="4"/>
  <c r="F14" i="4"/>
  <c r="E14" i="4"/>
  <c r="D14" i="4"/>
  <c r="C14" i="4"/>
  <c r="D57" i="4" l="1"/>
  <c r="D54" i="4" s="1"/>
  <c r="F57" i="4"/>
  <c r="F54" i="4" s="1"/>
  <c r="F44" i="4"/>
  <c r="E54" i="4"/>
  <c r="E42" i="4"/>
  <c r="C42" i="4"/>
  <c r="D22" i="4"/>
  <c r="D44" i="4"/>
  <c r="D48" i="4"/>
  <c r="C54" i="4"/>
  <c r="F48" i="4"/>
  <c r="F42" i="4" l="1"/>
  <c r="D42" i="4"/>
  <c r="C34" i="2"/>
  <c r="D33" i="2"/>
  <c r="C33" i="2" l="1"/>
  <c r="C107" i="2"/>
  <c r="C126" i="2" l="1"/>
  <c r="C168" i="2"/>
  <c r="C158" i="2"/>
  <c r="D108" i="2"/>
  <c r="AA312" i="1" l="1"/>
  <c r="Z312" i="1"/>
  <c r="Z311" i="1" s="1"/>
  <c r="X312" i="1"/>
  <c r="X311" i="1" s="1"/>
  <c r="W312" i="1"/>
  <c r="W311" i="1" s="1"/>
  <c r="U312" i="1"/>
  <c r="U311" i="1" s="1"/>
  <c r="T312" i="1"/>
  <c r="T311" i="1" s="1"/>
  <c r="R312" i="1"/>
  <c r="Q312" i="1"/>
  <c r="Q311" i="1" s="1"/>
  <c r="O312" i="1"/>
  <c r="O311" i="1" s="1"/>
  <c r="N312" i="1"/>
  <c r="N311" i="1" s="1"/>
  <c r="L312" i="1"/>
  <c r="K312" i="1"/>
  <c r="K311" i="1" s="1"/>
  <c r="I312" i="1"/>
  <c r="I311" i="1" s="1"/>
  <c r="H312" i="1"/>
  <c r="H311" i="1" s="1"/>
  <c r="F312" i="1"/>
  <c r="E312" i="1"/>
  <c r="E311" i="1" s="1"/>
  <c r="AB312" i="1" l="1"/>
  <c r="G312" i="1"/>
  <c r="M312" i="1"/>
  <c r="Y311" i="1"/>
  <c r="J311" i="1"/>
  <c r="S312" i="1"/>
  <c r="V311" i="1"/>
  <c r="J312" i="1"/>
  <c r="Y312" i="1"/>
  <c r="F311" i="1"/>
  <c r="L311" i="1"/>
  <c r="M311" i="1" s="1"/>
  <c r="AA311" i="1"/>
  <c r="AB311" i="1" s="1"/>
  <c r="P311" i="1"/>
  <c r="B312" i="1"/>
  <c r="P312" i="1"/>
  <c r="V312" i="1"/>
  <c r="R311" i="1"/>
  <c r="S311" i="1" s="1"/>
  <c r="C312" i="1"/>
  <c r="H319" i="1"/>
  <c r="F319" i="1"/>
  <c r="E319" i="1"/>
  <c r="C321" i="1"/>
  <c r="Z319" i="1"/>
  <c r="AA319" i="1"/>
  <c r="X319" i="1"/>
  <c r="Y319" i="1" s="1"/>
  <c r="W319" i="1"/>
  <c r="U319" i="1"/>
  <c r="T319" i="1"/>
  <c r="R319" i="1"/>
  <c r="Q319" i="1"/>
  <c r="O319" i="1"/>
  <c r="N319" i="1"/>
  <c r="L319" i="1"/>
  <c r="K319" i="1"/>
  <c r="I319" i="1"/>
  <c r="AB321" i="1"/>
  <c r="Y321" i="1"/>
  <c r="V321" i="1"/>
  <c r="S321" i="1"/>
  <c r="P321" i="1"/>
  <c r="M321" i="1"/>
  <c r="J321" i="1"/>
  <c r="G321" i="1"/>
  <c r="B321" i="1"/>
  <c r="F325" i="1"/>
  <c r="D312" i="1" l="1"/>
  <c r="G319" i="1"/>
  <c r="B319" i="1"/>
  <c r="D321" i="1"/>
  <c r="C62" i="2"/>
  <c r="D61" i="2"/>
  <c r="C61" i="2" s="1"/>
  <c r="C46" i="2"/>
  <c r="D45" i="2"/>
  <c r="C45" i="2" s="1"/>
  <c r="C42" i="2"/>
  <c r="D41" i="2"/>
  <c r="C41" i="2" s="1"/>
  <c r="C39" i="2"/>
  <c r="D38" i="2"/>
  <c r="C38" i="2" s="1"/>
  <c r="C170" i="2"/>
  <c r="C167" i="2"/>
  <c r="C162" i="2"/>
  <c r="C151" i="2"/>
  <c r="D148" i="2" s="1"/>
  <c r="D143" i="2"/>
  <c r="C140" i="2"/>
  <c r="D139" i="2" s="1"/>
  <c r="C130" i="2"/>
  <c r="D129" i="2" s="1"/>
  <c r="D125" i="2"/>
  <c r="C113" i="2"/>
  <c r="C103" i="2"/>
  <c r="D102" i="2" s="1"/>
  <c r="C93" i="2"/>
  <c r="C92" i="2"/>
  <c r="C91" i="2"/>
  <c r="C90" i="2"/>
  <c r="C89" i="2"/>
  <c r="C88" i="2"/>
  <c r="D87" i="2"/>
  <c r="D86" i="2" s="1"/>
  <c r="D94" i="2" s="1"/>
  <c r="C81" i="2"/>
  <c r="D80" i="2"/>
  <c r="C78" i="2"/>
  <c r="C77" i="2"/>
  <c r="C68" i="2"/>
  <c r="C67" i="2"/>
  <c r="C66" i="2"/>
  <c r="D65" i="2"/>
  <c r="C65" i="2" s="1"/>
  <c r="C60" i="2"/>
  <c r="D59" i="2"/>
  <c r="C52" i="2"/>
  <c r="D51" i="2"/>
  <c r="C51" i="2" s="1"/>
  <c r="C49" i="2"/>
  <c r="D48" i="2"/>
  <c r="C44" i="2"/>
  <c r="D43" i="2"/>
  <c r="C43" i="2" s="1"/>
  <c r="C36" i="2"/>
  <c r="D35" i="2"/>
  <c r="D166" i="2" l="1"/>
  <c r="D135" i="2"/>
  <c r="D116" i="2"/>
  <c r="C87" i="2"/>
  <c r="C80" i="2"/>
  <c r="D79" i="2"/>
  <c r="D82" i="2" s="1"/>
  <c r="C59" i="2"/>
  <c r="D58" i="2"/>
  <c r="D69" i="2" s="1"/>
  <c r="C69" i="2" s="1"/>
  <c r="C35" i="2"/>
  <c r="D32" i="2"/>
  <c r="C48" i="2"/>
  <c r="C47" i="2" s="1"/>
  <c r="D47" i="2"/>
  <c r="D50" i="2"/>
  <c r="C50" i="2" s="1"/>
  <c r="D37" i="2"/>
  <c r="C37" i="2" s="1"/>
  <c r="D155" i="2"/>
  <c r="D40" i="2"/>
  <c r="C40" i="2" s="1"/>
  <c r="C75" i="2"/>
  <c r="D174" i="2" l="1"/>
  <c r="D177" i="2" s="1"/>
  <c r="D179" i="2" s="1"/>
  <c r="C79" i="2"/>
  <c r="C82" i="2"/>
  <c r="D83" i="2"/>
  <c r="D96" i="2" s="1"/>
  <c r="D53" i="2"/>
  <c r="C53" i="2" s="1"/>
  <c r="C32" i="2"/>
  <c r="C58" i="2"/>
  <c r="C94" i="2"/>
  <c r="C86" i="2"/>
  <c r="D55" i="2" l="1"/>
  <c r="C55" i="2" s="1"/>
  <c r="C71" i="2" s="1"/>
  <c r="C83" i="2"/>
  <c r="D71" i="2" l="1"/>
  <c r="C96" i="2"/>
  <c r="D98" i="2" l="1"/>
  <c r="C98" i="2" s="1"/>
  <c r="L212" i="1" l="1"/>
  <c r="L271" i="1"/>
  <c r="AB275" i="1"/>
  <c r="Y275" i="1"/>
  <c r="V275" i="1"/>
  <c r="S275" i="1"/>
  <c r="P275" i="1"/>
  <c r="M275" i="1"/>
  <c r="J275" i="1"/>
  <c r="G275" i="1"/>
  <c r="C275" i="1"/>
  <c r="B275" i="1"/>
  <c r="L276" i="1"/>
  <c r="R199" i="1"/>
  <c r="AB36" i="1"/>
  <c r="Y36" i="1"/>
  <c r="V36" i="1"/>
  <c r="S36" i="1"/>
  <c r="P36" i="1"/>
  <c r="M36" i="1"/>
  <c r="J36" i="1"/>
  <c r="G36" i="1"/>
  <c r="C36" i="1"/>
  <c r="B36" i="1"/>
  <c r="AA236" i="1"/>
  <c r="Z236" i="1"/>
  <c r="X236" i="1"/>
  <c r="W236" i="1"/>
  <c r="U236" i="1"/>
  <c r="T236" i="1"/>
  <c r="R236" i="1"/>
  <c r="Q236" i="1"/>
  <c r="O236" i="1"/>
  <c r="N236" i="1"/>
  <c r="L236" i="1"/>
  <c r="K236" i="1"/>
  <c r="I236" i="1"/>
  <c r="H236" i="1"/>
  <c r="F236" i="1"/>
  <c r="E236" i="1"/>
  <c r="AB238" i="1"/>
  <c r="Y238" i="1"/>
  <c r="V238" i="1"/>
  <c r="S238" i="1"/>
  <c r="P238" i="1"/>
  <c r="M238" i="1"/>
  <c r="J238" i="1"/>
  <c r="G238" i="1"/>
  <c r="C238" i="1"/>
  <c r="B238" i="1"/>
  <c r="E301" i="1"/>
  <c r="AB314" i="1"/>
  <c r="Y314" i="1"/>
  <c r="V314" i="1"/>
  <c r="S314" i="1"/>
  <c r="P314" i="1"/>
  <c r="M314" i="1"/>
  <c r="J314" i="1"/>
  <c r="G314" i="1"/>
  <c r="C314" i="1"/>
  <c r="B314" i="1"/>
  <c r="AB313" i="1"/>
  <c r="Y313" i="1"/>
  <c r="V313" i="1"/>
  <c r="S313" i="1"/>
  <c r="P313" i="1"/>
  <c r="M313" i="1"/>
  <c r="J313" i="1"/>
  <c r="G313" i="1"/>
  <c r="C313" i="1"/>
  <c r="B313" i="1"/>
  <c r="AB189" i="1"/>
  <c r="Y189" i="1"/>
  <c r="V189" i="1"/>
  <c r="C189" i="1"/>
  <c r="P189" i="1"/>
  <c r="M189" i="1"/>
  <c r="J189" i="1"/>
  <c r="G189" i="1"/>
  <c r="B189" i="1"/>
  <c r="R186" i="1"/>
  <c r="R188" i="1"/>
  <c r="C188" i="1" s="1"/>
  <c r="AB188" i="1"/>
  <c r="Y188" i="1"/>
  <c r="V188" i="1"/>
  <c r="S188" i="1"/>
  <c r="P188" i="1"/>
  <c r="M188" i="1"/>
  <c r="J188" i="1"/>
  <c r="G188" i="1"/>
  <c r="B188" i="1"/>
  <c r="AB176" i="1"/>
  <c r="Y176" i="1"/>
  <c r="V176" i="1"/>
  <c r="S176" i="1"/>
  <c r="P176" i="1"/>
  <c r="M176" i="1"/>
  <c r="J176" i="1"/>
  <c r="G176" i="1"/>
  <c r="C176" i="1"/>
  <c r="B176" i="1"/>
  <c r="R179" i="1"/>
  <c r="AB179" i="1"/>
  <c r="Y179" i="1"/>
  <c r="V179" i="1"/>
  <c r="S179" i="1"/>
  <c r="P179" i="1"/>
  <c r="M179" i="1"/>
  <c r="J179" i="1"/>
  <c r="G179" i="1"/>
  <c r="C179" i="1"/>
  <c r="B179" i="1"/>
  <c r="AB178" i="1"/>
  <c r="Y178" i="1"/>
  <c r="V178" i="1"/>
  <c r="S178" i="1"/>
  <c r="P178" i="1"/>
  <c r="M178" i="1"/>
  <c r="J178" i="1"/>
  <c r="G178" i="1"/>
  <c r="C178" i="1"/>
  <c r="B178" i="1"/>
  <c r="R180" i="1"/>
  <c r="L175" i="1"/>
  <c r="M175" i="1" s="1"/>
  <c r="AB175" i="1"/>
  <c r="Y175" i="1"/>
  <c r="V175" i="1"/>
  <c r="S175" i="1"/>
  <c r="P175" i="1"/>
  <c r="J175" i="1"/>
  <c r="G175" i="1"/>
  <c r="B175" i="1"/>
  <c r="D275" i="1" l="1"/>
  <c r="C175" i="1"/>
  <c r="G311" i="1"/>
  <c r="D311" i="1" s="1"/>
  <c r="D176" i="1"/>
  <c r="D238" i="1"/>
  <c r="D36" i="1"/>
  <c r="B311" i="1"/>
  <c r="C311" i="1"/>
  <c r="D314" i="1"/>
  <c r="D313" i="1"/>
  <c r="S189" i="1"/>
  <c r="D189" i="1" s="1"/>
  <c r="D188" i="1"/>
  <c r="D179" i="1"/>
  <c r="D178" i="1"/>
  <c r="D175" i="1"/>
  <c r="AB153" i="1"/>
  <c r="Y153" i="1"/>
  <c r="V153" i="1"/>
  <c r="S153" i="1"/>
  <c r="P153" i="1"/>
  <c r="M153" i="1"/>
  <c r="J153" i="1"/>
  <c r="G153" i="1"/>
  <c r="C153" i="1"/>
  <c r="B153" i="1"/>
  <c r="D153" i="1" l="1"/>
  <c r="AB166" i="1"/>
  <c r="Y166" i="1"/>
  <c r="V166" i="1"/>
  <c r="S166" i="1"/>
  <c r="P166" i="1"/>
  <c r="M166" i="1"/>
  <c r="J166" i="1"/>
  <c r="G166" i="1"/>
  <c r="C166" i="1"/>
  <c r="B166" i="1"/>
  <c r="AB274" i="1"/>
  <c r="Y274" i="1"/>
  <c r="V274" i="1"/>
  <c r="S274" i="1"/>
  <c r="P274" i="1"/>
  <c r="M274" i="1"/>
  <c r="J274" i="1"/>
  <c r="G274" i="1"/>
  <c r="C274" i="1"/>
  <c r="B274" i="1"/>
  <c r="AB270" i="1"/>
  <c r="Y270" i="1"/>
  <c r="V270" i="1"/>
  <c r="S270" i="1"/>
  <c r="P270" i="1"/>
  <c r="M270" i="1"/>
  <c r="J270" i="1"/>
  <c r="G270" i="1"/>
  <c r="C270" i="1"/>
  <c r="B270" i="1"/>
  <c r="AB244" i="1"/>
  <c r="Y244" i="1"/>
  <c r="V244" i="1"/>
  <c r="S244" i="1"/>
  <c r="P244" i="1"/>
  <c r="M244" i="1"/>
  <c r="J244" i="1"/>
  <c r="G244" i="1"/>
  <c r="C244" i="1"/>
  <c r="B244" i="1"/>
  <c r="D166" i="1" l="1"/>
  <c r="D274" i="1"/>
  <c r="D270" i="1"/>
  <c r="D244" i="1"/>
  <c r="AB35" i="1" l="1"/>
  <c r="Y35" i="1"/>
  <c r="V35" i="1"/>
  <c r="S35" i="1"/>
  <c r="P35" i="1"/>
  <c r="M35" i="1"/>
  <c r="J35" i="1"/>
  <c r="G35" i="1"/>
  <c r="C35" i="1"/>
  <c r="B35" i="1"/>
  <c r="AB134" i="1"/>
  <c r="Y134" i="1"/>
  <c r="V134" i="1"/>
  <c r="S134" i="1"/>
  <c r="P134" i="1"/>
  <c r="M134" i="1"/>
  <c r="J134" i="1"/>
  <c r="G134" i="1"/>
  <c r="C134" i="1"/>
  <c r="B134" i="1"/>
  <c r="AB133" i="1"/>
  <c r="Y133" i="1"/>
  <c r="V133" i="1"/>
  <c r="S133" i="1"/>
  <c r="P133" i="1"/>
  <c r="M133" i="1"/>
  <c r="J133" i="1"/>
  <c r="G133" i="1"/>
  <c r="C133" i="1"/>
  <c r="B133" i="1"/>
  <c r="AB132" i="1"/>
  <c r="Y132" i="1"/>
  <c r="V132" i="1"/>
  <c r="S132" i="1"/>
  <c r="P132" i="1"/>
  <c r="M132" i="1"/>
  <c r="J132" i="1"/>
  <c r="G132" i="1"/>
  <c r="C132" i="1"/>
  <c r="B132" i="1"/>
  <c r="AB131" i="1"/>
  <c r="Y131" i="1"/>
  <c r="V131" i="1"/>
  <c r="S131" i="1"/>
  <c r="P131" i="1"/>
  <c r="M131" i="1"/>
  <c r="J131" i="1"/>
  <c r="G131" i="1"/>
  <c r="C131" i="1"/>
  <c r="B131" i="1"/>
  <c r="AB130" i="1"/>
  <c r="Y130" i="1"/>
  <c r="V130" i="1"/>
  <c r="S130" i="1"/>
  <c r="P130" i="1"/>
  <c r="M130" i="1"/>
  <c r="J130" i="1"/>
  <c r="G130" i="1"/>
  <c r="C130" i="1"/>
  <c r="B130" i="1"/>
  <c r="E95" i="1"/>
  <c r="D134" i="1" l="1"/>
  <c r="D133" i="1"/>
  <c r="D130" i="1"/>
  <c r="D35" i="1"/>
  <c r="D132" i="1"/>
  <c r="D131" i="1"/>
  <c r="AB125" i="1"/>
  <c r="Y125" i="1"/>
  <c r="V125" i="1"/>
  <c r="S125" i="1"/>
  <c r="P125" i="1"/>
  <c r="M125" i="1"/>
  <c r="J125" i="1"/>
  <c r="G125" i="1"/>
  <c r="C125" i="1"/>
  <c r="B125" i="1"/>
  <c r="AB124" i="1"/>
  <c r="Y124" i="1"/>
  <c r="V124" i="1"/>
  <c r="S124" i="1"/>
  <c r="P124" i="1"/>
  <c r="M124" i="1"/>
  <c r="J124" i="1"/>
  <c r="G124" i="1"/>
  <c r="C124" i="1"/>
  <c r="B124" i="1"/>
  <c r="AB123" i="1"/>
  <c r="Y123" i="1"/>
  <c r="V123" i="1"/>
  <c r="S123" i="1"/>
  <c r="P123" i="1"/>
  <c r="M123" i="1"/>
  <c r="J123" i="1"/>
  <c r="G123" i="1"/>
  <c r="C123" i="1"/>
  <c r="B123" i="1"/>
  <c r="AB122" i="1"/>
  <c r="Y122" i="1"/>
  <c r="V122" i="1"/>
  <c r="S122" i="1"/>
  <c r="P122" i="1"/>
  <c r="M122" i="1"/>
  <c r="J122" i="1"/>
  <c r="G122" i="1"/>
  <c r="C122" i="1"/>
  <c r="B122" i="1"/>
  <c r="AB121" i="1"/>
  <c r="Y121" i="1"/>
  <c r="V121" i="1"/>
  <c r="S121" i="1"/>
  <c r="P121" i="1"/>
  <c r="M121" i="1"/>
  <c r="J121" i="1"/>
  <c r="G121" i="1"/>
  <c r="C121" i="1"/>
  <c r="B121" i="1"/>
  <c r="AB120" i="1"/>
  <c r="Y120" i="1"/>
  <c r="V120" i="1"/>
  <c r="S120" i="1"/>
  <c r="P120" i="1"/>
  <c r="M120" i="1"/>
  <c r="J120" i="1"/>
  <c r="G120" i="1"/>
  <c r="C120" i="1"/>
  <c r="B120" i="1"/>
  <c r="AB119" i="1"/>
  <c r="Y119" i="1"/>
  <c r="V119" i="1"/>
  <c r="S119" i="1"/>
  <c r="P119" i="1"/>
  <c r="M119" i="1"/>
  <c r="J119" i="1"/>
  <c r="G119" i="1"/>
  <c r="C119" i="1"/>
  <c r="B119" i="1"/>
  <c r="AB118" i="1"/>
  <c r="Y118" i="1"/>
  <c r="V118" i="1"/>
  <c r="S118" i="1"/>
  <c r="P118" i="1"/>
  <c r="C118" i="1"/>
  <c r="B118" i="1"/>
  <c r="J118" i="1"/>
  <c r="G118" i="1"/>
  <c r="AB117" i="1"/>
  <c r="Y117" i="1"/>
  <c r="V117" i="1"/>
  <c r="S117" i="1"/>
  <c r="P117" i="1"/>
  <c r="M117" i="1"/>
  <c r="J117" i="1"/>
  <c r="G117" i="1"/>
  <c r="C117" i="1"/>
  <c r="B117" i="1"/>
  <c r="AB116" i="1"/>
  <c r="Y116" i="1"/>
  <c r="V116" i="1"/>
  <c r="S116" i="1"/>
  <c r="P116" i="1"/>
  <c r="M116" i="1"/>
  <c r="J116" i="1"/>
  <c r="G116" i="1"/>
  <c r="C116" i="1"/>
  <c r="B116" i="1"/>
  <c r="AB115" i="1"/>
  <c r="Y115" i="1"/>
  <c r="V115" i="1"/>
  <c r="S115" i="1"/>
  <c r="P115" i="1"/>
  <c r="M115" i="1"/>
  <c r="J115" i="1"/>
  <c r="G115" i="1"/>
  <c r="C115" i="1"/>
  <c r="B115" i="1"/>
  <c r="AB114" i="1"/>
  <c r="Y114" i="1"/>
  <c r="V114" i="1"/>
  <c r="S114" i="1"/>
  <c r="P114" i="1"/>
  <c r="M114" i="1"/>
  <c r="J114" i="1"/>
  <c r="G114" i="1"/>
  <c r="C114" i="1"/>
  <c r="B114" i="1"/>
  <c r="AB113" i="1"/>
  <c r="Y113" i="1"/>
  <c r="V113" i="1"/>
  <c r="S113" i="1"/>
  <c r="P113" i="1"/>
  <c r="C113" i="1"/>
  <c r="J113" i="1"/>
  <c r="G113" i="1"/>
  <c r="B113" i="1"/>
  <c r="AB112" i="1"/>
  <c r="Y112" i="1"/>
  <c r="V112" i="1"/>
  <c r="S112" i="1"/>
  <c r="P112" i="1"/>
  <c r="M112" i="1"/>
  <c r="J112" i="1"/>
  <c r="G112" i="1"/>
  <c r="C112" i="1"/>
  <c r="B112" i="1"/>
  <c r="AB111" i="1"/>
  <c r="Y111" i="1"/>
  <c r="V111" i="1"/>
  <c r="S111" i="1"/>
  <c r="P111" i="1"/>
  <c r="M111" i="1"/>
  <c r="J111" i="1"/>
  <c r="G111" i="1"/>
  <c r="C111" i="1"/>
  <c r="B111" i="1"/>
  <c r="AB110" i="1"/>
  <c r="Y110" i="1"/>
  <c r="V110" i="1"/>
  <c r="S110" i="1"/>
  <c r="P110" i="1"/>
  <c r="M110" i="1"/>
  <c r="J110" i="1"/>
  <c r="G110" i="1"/>
  <c r="C110" i="1"/>
  <c r="B110" i="1"/>
  <c r="AB109" i="1"/>
  <c r="Y109" i="1"/>
  <c r="V109" i="1"/>
  <c r="S109" i="1"/>
  <c r="P109" i="1"/>
  <c r="M109" i="1"/>
  <c r="J109" i="1"/>
  <c r="G109" i="1"/>
  <c r="C109" i="1"/>
  <c r="B109" i="1"/>
  <c r="AB108" i="1"/>
  <c r="Y108" i="1"/>
  <c r="V108" i="1"/>
  <c r="S108" i="1"/>
  <c r="P108" i="1"/>
  <c r="M108" i="1"/>
  <c r="J108" i="1"/>
  <c r="G108" i="1"/>
  <c r="C108" i="1"/>
  <c r="B108" i="1"/>
  <c r="AB107" i="1"/>
  <c r="Y107" i="1"/>
  <c r="V107" i="1"/>
  <c r="S107" i="1"/>
  <c r="P107" i="1"/>
  <c r="M107" i="1"/>
  <c r="J107" i="1"/>
  <c r="G107" i="1"/>
  <c r="C107" i="1"/>
  <c r="B107" i="1"/>
  <c r="AB106" i="1"/>
  <c r="Y106" i="1"/>
  <c r="V106" i="1"/>
  <c r="S106" i="1"/>
  <c r="P106" i="1"/>
  <c r="M106" i="1"/>
  <c r="J106" i="1"/>
  <c r="G106" i="1"/>
  <c r="C106" i="1"/>
  <c r="B106" i="1"/>
  <c r="AB105" i="1"/>
  <c r="Y105" i="1"/>
  <c r="V105" i="1"/>
  <c r="S105" i="1"/>
  <c r="P105" i="1"/>
  <c r="C105" i="1"/>
  <c r="J105" i="1"/>
  <c r="G105" i="1"/>
  <c r="B105" i="1"/>
  <c r="AB104" i="1"/>
  <c r="Y104" i="1"/>
  <c r="V104" i="1"/>
  <c r="S104" i="1"/>
  <c r="P104" i="1"/>
  <c r="M104" i="1"/>
  <c r="J104" i="1"/>
  <c r="G104" i="1"/>
  <c r="C104" i="1"/>
  <c r="B104" i="1"/>
  <c r="AB103" i="1"/>
  <c r="Y103" i="1"/>
  <c r="V103" i="1"/>
  <c r="S103" i="1"/>
  <c r="P103" i="1"/>
  <c r="M103" i="1"/>
  <c r="J103" i="1"/>
  <c r="G103" i="1"/>
  <c r="C103" i="1"/>
  <c r="B103" i="1"/>
  <c r="AB102" i="1"/>
  <c r="Y102" i="1"/>
  <c r="V102" i="1"/>
  <c r="S102" i="1"/>
  <c r="P102" i="1"/>
  <c r="M102" i="1"/>
  <c r="J102" i="1"/>
  <c r="G102" i="1"/>
  <c r="C102" i="1"/>
  <c r="B102" i="1"/>
  <c r="AB101" i="1"/>
  <c r="Y101" i="1"/>
  <c r="V101" i="1"/>
  <c r="S101" i="1"/>
  <c r="P101" i="1"/>
  <c r="M101" i="1"/>
  <c r="J101" i="1"/>
  <c r="G101" i="1"/>
  <c r="C101" i="1"/>
  <c r="B101" i="1"/>
  <c r="AB100" i="1"/>
  <c r="Y100" i="1"/>
  <c r="V100" i="1"/>
  <c r="S100" i="1"/>
  <c r="P100" i="1"/>
  <c r="M100" i="1"/>
  <c r="J100" i="1"/>
  <c r="G100" i="1"/>
  <c r="C100" i="1"/>
  <c r="B100" i="1"/>
  <c r="AB99" i="1"/>
  <c r="Y99" i="1"/>
  <c r="V99" i="1"/>
  <c r="S99" i="1"/>
  <c r="P99" i="1"/>
  <c r="M99" i="1"/>
  <c r="J99" i="1"/>
  <c r="G99" i="1"/>
  <c r="C99" i="1"/>
  <c r="B99" i="1"/>
  <c r="AB98" i="1"/>
  <c r="Y98" i="1"/>
  <c r="V98" i="1"/>
  <c r="S98" i="1"/>
  <c r="P98" i="1"/>
  <c r="M98" i="1"/>
  <c r="J98" i="1"/>
  <c r="G98" i="1"/>
  <c r="C98" i="1"/>
  <c r="B98" i="1"/>
  <c r="AB126" i="1"/>
  <c r="Y126" i="1"/>
  <c r="V126" i="1"/>
  <c r="S126" i="1"/>
  <c r="P126" i="1"/>
  <c r="M126" i="1"/>
  <c r="B126" i="1"/>
  <c r="J126" i="1"/>
  <c r="H95" i="1"/>
  <c r="G126" i="1"/>
  <c r="AB97" i="1"/>
  <c r="Y97" i="1"/>
  <c r="V97" i="1"/>
  <c r="S97" i="1"/>
  <c r="P97" i="1"/>
  <c r="M97" i="1"/>
  <c r="J97" i="1"/>
  <c r="G97" i="1"/>
  <c r="C97" i="1"/>
  <c r="B97" i="1"/>
  <c r="AB96" i="1"/>
  <c r="Y96" i="1"/>
  <c r="V96" i="1"/>
  <c r="S96" i="1"/>
  <c r="P96" i="1"/>
  <c r="M96" i="1"/>
  <c r="I95" i="1"/>
  <c r="G96" i="1"/>
  <c r="C96" i="1"/>
  <c r="B96" i="1"/>
  <c r="AA95" i="1"/>
  <c r="Z95" i="1"/>
  <c r="X95" i="1"/>
  <c r="W95" i="1"/>
  <c r="U95" i="1"/>
  <c r="T95" i="1"/>
  <c r="R95" i="1"/>
  <c r="Q95" i="1"/>
  <c r="O95" i="1"/>
  <c r="N95" i="1"/>
  <c r="F95" i="1"/>
  <c r="G95" i="1" s="1"/>
  <c r="L76" i="1"/>
  <c r="P95" i="1" l="1"/>
  <c r="V95" i="1"/>
  <c r="S95" i="1"/>
  <c r="D103" i="1"/>
  <c r="D107" i="1"/>
  <c r="D111" i="1"/>
  <c r="D120" i="1"/>
  <c r="D121" i="1"/>
  <c r="D125" i="1"/>
  <c r="D97" i="1"/>
  <c r="AB95" i="1"/>
  <c r="D114" i="1"/>
  <c r="D119" i="1"/>
  <c r="D98" i="1"/>
  <c r="D99" i="1"/>
  <c r="Y95" i="1"/>
  <c r="D109" i="1"/>
  <c r="D117" i="1"/>
  <c r="D115" i="1"/>
  <c r="D110" i="1"/>
  <c r="D112" i="1"/>
  <c r="D101" i="1"/>
  <c r="D108" i="1"/>
  <c r="D116" i="1"/>
  <c r="D122" i="1"/>
  <c r="D124" i="1"/>
  <c r="D100" i="1"/>
  <c r="D123" i="1"/>
  <c r="J95" i="1"/>
  <c r="D102" i="1"/>
  <c r="D104" i="1"/>
  <c r="D106" i="1"/>
  <c r="D126" i="1"/>
  <c r="K95" i="1"/>
  <c r="B95" i="1" s="1"/>
  <c r="J96" i="1"/>
  <c r="D96" i="1" s="1"/>
  <c r="M113" i="1"/>
  <c r="D113" i="1" s="1"/>
  <c r="L95" i="1"/>
  <c r="C126" i="1"/>
  <c r="M105" i="1"/>
  <c r="D105" i="1" s="1"/>
  <c r="M118" i="1"/>
  <c r="D118" i="1" s="1"/>
  <c r="L61" i="1"/>
  <c r="M95" i="1" l="1"/>
  <c r="D95" i="1" s="1"/>
  <c r="C95" i="1"/>
  <c r="AB206" i="1"/>
  <c r="Y206" i="1"/>
  <c r="V206" i="1"/>
  <c r="S206" i="1"/>
  <c r="B206" i="1"/>
  <c r="P206" i="1"/>
  <c r="M206" i="1"/>
  <c r="J206" i="1"/>
  <c r="G206" i="1"/>
  <c r="D206" i="1" l="1"/>
  <c r="C206" i="1"/>
  <c r="AB197" i="1"/>
  <c r="Y197" i="1"/>
  <c r="V197" i="1"/>
  <c r="S197" i="1"/>
  <c r="P197" i="1"/>
  <c r="J197" i="1"/>
  <c r="G197" i="1"/>
  <c r="C197" i="1"/>
  <c r="B197" i="1"/>
  <c r="D197" i="1" l="1"/>
  <c r="AB198" i="1"/>
  <c r="Y198" i="1"/>
  <c r="V198" i="1"/>
  <c r="S198" i="1"/>
  <c r="P198" i="1"/>
  <c r="M198" i="1"/>
  <c r="J198" i="1"/>
  <c r="G198" i="1"/>
  <c r="C198" i="1"/>
  <c r="B198" i="1"/>
  <c r="AB187" i="1"/>
  <c r="Y187" i="1"/>
  <c r="V187" i="1"/>
  <c r="S187" i="1"/>
  <c r="P187" i="1"/>
  <c r="M187" i="1"/>
  <c r="J187" i="1"/>
  <c r="G187" i="1"/>
  <c r="C187" i="1"/>
  <c r="B187" i="1"/>
  <c r="AB177" i="1"/>
  <c r="Y177" i="1"/>
  <c r="V177" i="1"/>
  <c r="S177" i="1"/>
  <c r="P177" i="1"/>
  <c r="M177" i="1"/>
  <c r="J177" i="1"/>
  <c r="G177" i="1"/>
  <c r="C177" i="1"/>
  <c r="B177" i="1"/>
  <c r="D187" i="1" l="1"/>
  <c r="D198" i="1"/>
  <c r="D177" i="1"/>
  <c r="AA326" i="1" l="1"/>
  <c r="AA324" i="1"/>
  <c r="AA322" i="1"/>
  <c r="AA316" i="1"/>
  <c r="AA315" i="1" s="1"/>
  <c r="AA307" i="1"/>
  <c r="AA306" i="1" s="1"/>
  <c r="AA305" i="1" s="1"/>
  <c r="AA303" i="1"/>
  <c r="AA301" i="1"/>
  <c r="AA299" i="1"/>
  <c r="AA296" i="1"/>
  <c r="AA292" i="1"/>
  <c r="AA289" i="1"/>
  <c r="AA286" i="1"/>
  <c r="AA283" i="1"/>
  <c r="AA272" i="1"/>
  <c r="AA266" i="1"/>
  <c r="AA263" i="1"/>
  <c r="AA255" i="1"/>
  <c r="AA249" i="1" s="1"/>
  <c r="AA246" i="1"/>
  <c r="AA242" i="1"/>
  <c r="AA239" i="1"/>
  <c r="AA233" i="1"/>
  <c r="AA230" i="1"/>
  <c r="AA227" i="1"/>
  <c r="AA223" i="1"/>
  <c r="AA218" i="1"/>
  <c r="AA211" i="1"/>
  <c r="AA208" i="1"/>
  <c r="AA204" i="1"/>
  <c r="AA201" i="1"/>
  <c r="AA191" i="1"/>
  <c r="AA185" i="1"/>
  <c r="AA182" i="1"/>
  <c r="AA181" i="1" s="1"/>
  <c r="AA173" i="1"/>
  <c r="AA167" i="1"/>
  <c r="AA161" i="1"/>
  <c r="AA158" i="1"/>
  <c r="AA156" i="1"/>
  <c r="AA151" i="1"/>
  <c r="AA143" i="1"/>
  <c r="AA142" i="1" s="1"/>
  <c r="AA128" i="1"/>
  <c r="AA127" i="1" s="1"/>
  <c r="AA58" i="1"/>
  <c r="AA50" i="1" s="1"/>
  <c r="AA46" i="1"/>
  <c r="AA45" i="1" s="1"/>
  <c r="AA42" i="1"/>
  <c r="AA41" i="1" s="1"/>
  <c r="AA32" i="1"/>
  <c r="AA31" i="1" s="1"/>
  <c r="AA17" i="1"/>
  <c r="AA16" i="1" s="1"/>
  <c r="AA11" i="1"/>
  <c r="AA10" i="1" s="1"/>
  <c r="X326" i="1"/>
  <c r="X324" i="1"/>
  <c r="X322" i="1"/>
  <c r="X316" i="1"/>
  <c r="X307" i="1"/>
  <c r="X306" i="1" s="1"/>
  <c r="X305" i="1" s="1"/>
  <c r="X303" i="1"/>
  <c r="X301" i="1"/>
  <c r="X299" i="1"/>
  <c r="X296" i="1"/>
  <c r="X292" i="1"/>
  <c r="X289" i="1"/>
  <c r="X286" i="1"/>
  <c r="X283" i="1"/>
  <c r="X272" i="1"/>
  <c r="X266" i="1"/>
  <c r="X263" i="1"/>
  <c r="X249" i="1"/>
  <c r="X246" i="1"/>
  <c r="X242" i="1"/>
  <c r="X239" i="1"/>
  <c r="X233" i="1"/>
  <c r="X230" i="1"/>
  <c r="X227" i="1"/>
  <c r="X223" i="1"/>
  <c r="X218" i="1"/>
  <c r="X211" i="1"/>
  <c r="X208" i="1"/>
  <c r="X204" i="1"/>
  <c r="X201" i="1"/>
  <c r="X191" i="1"/>
  <c r="X185" i="1"/>
  <c r="X181" i="1"/>
  <c r="X173" i="1"/>
  <c r="X167" i="1"/>
  <c r="X161" i="1"/>
  <c r="X158" i="1"/>
  <c r="X156" i="1"/>
  <c r="X151" i="1"/>
  <c r="X143" i="1"/>
  <c r="X142" i="1" s="1"/>
  <c r="X128" i="1"/>
  <c r="X127" i="1" s="1"/>
  <c r="X58" i="1"/>
  <c r="X46" i="1"/>
  <c r="X42" i="1"/>
  <c r="X41" i="1" s="1"/>
  <c r="X32" i="1"/>
  <c r="X17" i="1"/>
  <c r="X16" i="1" s="1"/>
  <c r="X11" i="1"/>
  <c r="U326" i="1"/>
  <c r="U324" i="1"/>
  <c r="U322" i="1"/>
  <c r="U316" i="1"/>
  <c r="U315" i="1" s="1"/>
  <c r="U307" i="1"/>
  <c r="U306" i="1" s="1"/>
  <c r="U305" i="1" s="1"/>
  <c r="U303" i="1"/>
  <c r="U301" i="1"/>
  <c r="U299" i="1"/>
  <c r="U296" i="1"/>
  <c r="U292" i="1"/>
  <c r="U289" i="1"/>
  <c r="U286" i="1"/>
  <c r="U283" i="1"/>
  <c r="U272" i="1"/>
  <c r="U266" i="1"/>
  <c r="U263" i="1"/>
  <c r="U254" i="1"/>
  <c r="U249" i="1" s="1"/>
  <c r="U246" i="1"/>
  <c r="U242" i="1"/>
  <c r="U239" i="1"/>
  <c r="U233" i="1"/>
  <c r="U230" i="1"/>
  <c r="U227" i="1"/>
  <c r="U223" i="1"/>
  <c r="U218" i="1"/>
  <c r="U211" i="1"/>
  <c r="U208" i="1"/>
  <c r="U204" i="1"/>
  <c r="U201" i="1"/>
  <c r="U191" i="1"/>
  <c r="U185" i="1"/>
  <c r="U181" i="1"/>
  <c r="U174" i="1"/>
  <c r="U173" i="1" s="1"/>
  <c r="U167" i="1"/>
  <c r="U161" i="1"/>
  <c r="U158" i="1"/>
  <c r="U156" i="1"/>
  <c r="U151" i="1"/>
  <c r="U143" i="1"/>
  <c r="U128" i="1"/>
  <c r="U127" i="1" s="1"/>
  <c r="U58" i="1"/>
  <c r="U56" i="1"/>
  <c r="U46" i="1"/>
  <c r="U45" i="1" s="1"/>
  <c r="U42" i="1"/>
  <c r="U32" i="1"/>
  <c r="U31" i="1" s="1"/>
  <c r="U28" i="1"/>
  <c r="C28" i="1" s="1"/>
  <c r="U26" i="1"/>
  <c r="U11" i="1"/>
  <c r="U10" i="1" s="1"/>
  <c r="R326" i="1"/>
  <c r="R324" i="1"/>
  <c r="R322" i="1"/>
  <c r="R316" i="1"/>
  <c r="R307" i="1"/>
  <c r="R306" i="1" s="1"/>
  <c r="R305" i="1" s="1"/>
  <c r="R303" i="1"/>
  <c r="R301" i="1"/>
  <c r="R299" i="1"/>
  <c r="R296" i="1"/>
  <c r="R292" i="1"/>
  <c r="R289" i="1"/>
  <c r="R286" i="1"/>
  <c r="R284" i="1"/>
  <c r="R283" i="1" s="1"/>
  <c r="R272" i="1"/>
  <c r="R266" i="1"/>
  <c r="R263" i="1"/>
  <c r="R249" i="1"/>
  <c r="R246" i="1"/>
  <c r="R242" i="1"/>
  <c r="R239" i="1"/>
  <c r="R233" i="1"/>
  <c r="R230" i="1"/>
  <c r="R227" i="1"/>
  <c r="R223" i="1"/>
  <c r="R218" i="1"/>
  <c r="R211" i="1"/>
  <c r="R208" i="1"/>
  <c r="R205" i="1"/>
  <c r="R204" i="1"/>
  <c r="R201" i="1"/>
  <c r="R191" i="1"/>
  <c r="R185" i="1"/>
  <c r="R181" i="1"/>
  <c r="R173" i="1"/>
  <c r="R167" i="1"/>
  <c r="R161" i="1"/>
  <c r="R158" i="1"/>
  <c r="R156" i="1"/>
  <c r="R151" i="1"/>
  <c r="R143" i="1"/>
  <c r="R142" i="1" s="1"/>
  <c r="R128" i="1"/>
  <c r="R127" i="1" s="1"/>
  <c r="R58" i="1"/>
  <c r="R46" i="1"/>
  <c r="R45" i="1" s="1"/>
  <c r="R42" i="1"/>
  <c r="R41" i="1" s="1"/>
  <c r="R32" i="1"/>
  <c r="R31" i="1" s="1"/>
  <c r="R17" i="1"/>
  <c r="R11" i="1"/>
  <c r="R10" i="1" s="1"/>
  <c r="O326" i="1"/>
  <c r="O324" i="1"/>
  <c r="O322" i="1"/>
  <c r="O316" i="1"/>
  <c r="O315" i="1" s="1"/>
  <c r="O307" i="1"/>
  <c r="O306" i="1" s="1"/>
  <c r="O305" i="1" s="1"/>
  <c r="O303" i="1"/>
  <c r="O301" i="1"/>
  <c r="O299" i="1"/>
  <c r="O296" i="1"/>
  <c r="O292" i="1"/>
  <c r="O289" i="1"/>
  <c r="O286" i="1"/>
  <c r="O283" i="1"/>
  <c r="O272" i="1"/>
  <c r="O266" i="1"/>
  <c r="O263" i="1"/>
  <c r="O249" i="1"/>
  <c r="O246" i="1"/>
  <c r="O242" i="1"/>
  <c r="O239" i="1"/>
  <c r="O233" i="1"/>
  <c r="O230" i="1"/>
  <c r="O227" i="1"/>
  <c r="O223" i="1"/>
  <c r="O218" i="1"/>
  <c r="O211" i="1"/>
  <c r="O208" i="1"/>
  <c r="O204" i="1"/>
  <c r="O201" i="1"/>
  <c r="O191" i="1"/>
  <c r="O185" i="1"/>
  <c r="O181" i="1"/>
  <c r="O173" i="1"/>
  <c r="O167" i="1"/>
  <c r="O161" i="1"/>
  <c r="O158" i="1"/>
  <c r="O156" i="1"/>
  <c r="O151" i="1"/>
  <c r="O143" i="1"/>
  <c r="O142" i="1" s="1"/>
  <c r="O128" i="1"/>
  <c r="O127" i="1" s="1"/>
  <c r="O58" i="1"/>
  <c r="O46" i="1"/>
  <c r="O45" i="1" s="1"/>
  <c r="O42" i="1"/>
  <c r="O41" i="1" s="1"/>
  <c r="O32" i="1"/>
  <c r="O31" i="1" s="1"/>
  <c r="O17" i="1"/>
  <c r="O16" i="1" s="1"/>
  <c r="O11" i="1"/>
  <c r="O10" i="1" s="1"/>
  <c r="L326" i="1"/>
  <c r="L324" i="1"/>
  <c r="L322" i="1"/>
  <c r="L316" i="1"/>
  <c r="L315" i="1" s="1"/>
  <c r="L307" i="1"/>
  <c r="L306" i="1" s="1"/>
  <c r="L305" i="1" s="1"/>
  <c r="L303" i="1"/>
  <c r="L301" i="1"/>
  <c r="L299" i="1"/>
  <c r="L296" i="1"/>
  <c r="L292" i="1"/>
  <c r="L289" i="1"/>
  <c r="L286" i="1"/>
  <c r="L283" i="1"/>
  <c r="L272" i="1"/>
  <c r="L266" i="1"/>
  <c r="L263" i="1"/>
  <c r="L256" i="1"/>
  <c r="L249" i="1" s="1"/>
  <c r="L246" i="1"/>
  <c r="L242" i="1"/>
  <c r="L239" i="1"/>
  <c r="L233" i="1"/>
  <c r="L230" i="1"/>
  <c r="L227" i="1"/>
  <c r="L223" i="1"/>
  <c r="L218" i="1"/>
  <c r="L211" i="1"/>
  <c r="L208" i="1"/>
  <c r="L204" i="1"/>
  <c r="L201" i="1"/>
  <c r="L191" i="1"/>
  <c r="L185" i="1"/>
  <c r="L181" i="1"/>
  <c r="L173" i="1"/>
  <c r="L167" i="1"/>
  <c r="L161" i="1"/>
  <c r="L158" i="1"/>
  <c r="L156" i="1"/>
  <c r="L151" i="1"/>
  <c r="L143" i="1"/>
  <c r="L142" i="1" s="1"/>
  <c r="L136" i="1"/>
  <c r="L128" i="1" s="1"/>
  <c r="L87" i="1"/>
  <c r="C87" i="1" s="1"/>
  <c r="L81" i="1"/>
  <c r="L80" i="1"/>
  <c r="L70" i="1"/>
  <c r="L59" i="1"/>
  <c r="L46" i="1"/>
  <c r="L45" i="1" s="1"/>
  <c r="L42" i="1"/>
  <c r="L41" i="1" s="1"/>
  <c r="L32" i="1"/>
  <c r="L31" i="1" s="1"/>
  <c r="L17" i="1"/>
  <c r="L16" i="1" s="1"/>
  <c r="L11" i="1"/>
  <c r="L10" i="1" s="1"/>
  <c r="I326" i="1"/>
  <c r="I324" i="1"/>
  <c r="I322" i="1"/>
  <c r="I316" i="1"/>
  <c r="I315" i="1" s="1"/>
  <c r="I307" i="1"/>
  <c r="I306" i="1" s="1"/>
  <c r="I305" i="1" s="1"/>
  <c r="I303" i="1"/>
  <c r="I301" i="1"/>
  <c r="I299" i="1"/>
  <c r="I296" i="1"/>
  <c r="I292" i="1"/>
  <c r="I289" i="1"/>
  <c r="I286" i="1"/>
  <c r="I283" i="1"/>
  <c r="I272" i="1"/>
  <c r="I266" i="1"/>
  <c r="I263" i="1"/>
  <c r="I249" i="1"/>
  <c r="I246" i="1"/>
  <c r="I242" i="1"/>
  <c r="I239" i="1"/>
  <c r="I233" i="1"/>
  <c r="I230" i="1"/>
  <c r="I227" i="1"/>
  <c r="I223" i="1"/>
  <c r="I218" i="1"/>
  <c r="I211" i="1"/>
  <c r="I208" i="1"/>
  <c r="I204" i="1"/>
  <c r="I201" i="1"/>
  <c r="I191" i="1"/>
  <c r="I185" i="1"/>
  <c r="I181" i="1"/>
  <c r="I173" i="1"/>
  <c r="I167" i="1"/>
  <c r="I161" i="1"/>
  <c r="I158" i="1"/>
  <c r="I156" i="1"/>
  <c r="I151" i="1"/>
  <c r="I143" i="1"/>
  <c r="I142" i="1" s="1"/>
  <c r="I128" i="1"/>
  <c r="I74" i="1"/>
  <c r="I68" i="1"/>
  <c r="I61" i="1"/>
  <c r="C61" i="1" s="1"/>
  <c r="I59" i="1"/>
  <c r="I46" i="1"/>
  <c r="I45" i="1" s="1"/>
  <c r="I42" i="1"/>
  <c r="I41" i="1" s="1"/>
  <c r="I32" i="1"/>
  <c r="I31" i="1" s="1"/>
  <c r="I17" i="1"/>
  <c r="I16" i="1" s="1"/>
  <c r="I11" i="1"/>
  <c r="I10" i="1" s="1"/>
  <c r="AB327" i="1"/>
  <c r="AB325" i="1"/>
  <c r="AB323" i="1"/>
  <c r="AB320" i="1"/>
  <c r="AB317" i="1"/>
  <c r="AB310" i="1"/>
  <c r="AB309" i="1"/>
  <c r="AB308" i="1"/>
  <c r="AB304" i="1"/>
  <c r="AB302" i="1"/>
  <c r="AB300" i="1"/>
  <c r="AB298" i="1"/>
  <c r="AB297" i="1"/>
  <c r="AB294" i="1"/>
  <c r="AB293" i="1"/>
  <c r="AB291" i="1"/>
  <c r="AB290" i="1"/>
  <c r="AB288" i="1"/>
  <c r="AB287" i="1"/>
  <c r="AB285" i="1"/>
  <c r="AB284" i="1"/>
  <c r="AB282" i="1"/>
  <c r="AB281" i="1"/>
  <c r="AB280" i="1"/>
  <c r="AB279" i="1"/>
  <c r="AB278" i="1"/>
  <c r="AB277" i="1"/>
  <c r="AB276" i="1"/>
  <c r="AB273" i="1"/>
  <c r="AB271" i="1"/>
  <c r="AB269" i="1"/>
  <c r="AB268" i="1"/>
  <c r="AB267" i="1"/>
  <c r="AB264" i="1"/>
  <c r="AB262" i="1"/>
  <c r="AB261" i="1"/>
  <c r="AB260" i="1"/>
  <c r="AB259" i="1"/>
  <c r="AB258" i="1"/>
  <c r="AB257" i="1"/>
  <c r="AB256" i="1"/>
  <c r="AB254" i="1"/>
  <c r="AB253" i="1"/>
  <c r="AB252" i="1"/>
  <c r="AB251" i="1"/>
  <c r="AB250" i="1"/>
  <c r="AB248" i="1"/>
  <c r="AB247" i="1"/>
  <c r="AB245" i="1"/>
  <c r="AB243" i="1"/>
  <c r="AB241" i="1"/>
  <c r="AB240" i="1"/>
  <c r="AB237" i="1"/>
  <c r="AB236" i="1"/>
  <c r="AB234" i="1"/>
  <c r="AB232" i="1"/>
  <c r="AB231" i="1"/>
  <c r="AB229" i="1"/>
  <c r="AB228" i="1"/>
  <c r="AB226" i="1"/>
  <c r="AB225" i="1"/>
  <c r="AB224" i="1"/>
  <c r="AB222" i="1"/>
  <c r="AB221" i="1"/>
  <c r="AB220" i="1"/>
  <c r="AB219" i="1"/>
  <c r="AB217" i="1"/>
  <c r="AB216" i="1"/>
  <c r="AB215" i="1"/>
  <c r="AB214" i="1"/>
  <c r="AB213" i="1"/>
  <c r="AB212" i="1"/>
  <c r="AB209" i="1"/>
  <c r="AB207" i="1"/>
  <c r="AB205" i="1"/>
  <c r="AB203" i="1"/>
  <c r="AB202" i="1"/>
  <c r="AB199" i="1"/>
  <c r="AB196" i="1"/>
  <c r="AB195" i="1"/>
  <c r="AB194" i="1"/>
  <c r="AB193" i="1"/>
  <c r="AB192" i="1"/>
  <c r="AB190" i="1"/>
  <c r="AB186" i="1"/>
  <c r="AB184" i="1"/>
  <c r="AB183" i="1"/>
  <c r="AB180" i="1"/>
  <c r="AB174" i="1"/>
  <c r="AB171" i="1"/>
  <c r="AB170" i="1"/>
  <c r="AB169" i="1"/>
  <c r="AB168" i="1"/>
  <c r="AB165" i="1"/>
  <c r="AB162" i="1"/>
  <c r="AB160" i="1"/>
  <c r="AB159" i="1"/>
  <c r="AB157" i="1"/>
  <c r="AB155" i="1"/>
  <c r="AB154" i="1"/>
  <c r="AB152" i="1"/>
  <c r="AB148" i="1"/>
  <c r="AB147" i="1"/>
  <c r="AB146" i="1"/>
  <c r="AB145" i="1"/>
  <c r="AB144" i="1"/>
  <c r="AB141" i="1"/>
  <c r="AB140" i="1"/>
  <c r="AB139" i="1"/>
  <c r="AB138" i="1"/>
  <c r="AB137" i="1"/>
  <c r="AB136" i="1"/>
  <c r="AB135" i="1"/>
  <c r="AB129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7" i="1"/>
  <c r="AB56" i="1"/>
  <c r="AB55" i="1"/>
  <c r="AB54" i="1"/>
  <c r="AB53" i="1"/>
  <c r="AB52" i="1"/>
  <c r="AB51" i="1"/>
  <c r="AB48" i="1"/>
  <c r="AB47" i="1"/>
  <c r="AB44" i="1"/>
  <c r="AB43" i="1"/>
  <c r="AB40" i="1"/>
  <c r="AB39" i="1"/>
  <c r="AB38" i="1"/>
  <c r="AB37" i="1"/>
  <c r="AB34" i="1"/>
  <c r="AB33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5" i="1"/>
  <c r="AB14" i="1"/>
  <c r="AB13" i="1"/>
  <c r="AB12" i="1"/>
  <c r="Y327" i="1"/>
  <c r="Y325" i="1"/>
  <c r="Y323" i="1"/>
  <c r="Y320" i="1"/>
  <c r="Y317" i="1"/>
  <c r="Y310" i="1"/>
  <c r="Y309" i="1"/>
  <c r="Y308" i="1"/>
  <c r="Y304" i="1"/>
  <c r="Y302" i="1"/>
  <c r="Y300" i="1"/>
  <c r="Y298" i="1"/>
  <c r="Y297" i="1"/>
  <c r="Y294" i="1"/>
  <c r="Y293" i="1"/>
  <c r="Y291" i="1"/>
  <c r="Y290" i="1"/>
  <c r="Y288" i="1"/>
  <c r="Y287" i="1"/>
  <c r="Y285" i="1"/>
  <c r="Y284" i="1"/>
  <c r="Y282" i="1"/>
  <c r="Y281" i="1"/>
  <c r="Y280" i="1"/>
  <c r="Y279" i="1"/>
  <c r="Y278" i="1"/>
  <c r="Y277" i="1"/>
  <c r="Y276" i="1"/>
  <c r="Y273" i="1"/>
  <c r="Y271" i="1"/>
  <c r="Y269" i="1"/>
  <c r="Y268" i="1"/>
  <c r="Y267" i="1"/>
  <c r="Y264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8" i="1"/>
  <c r="Y247" i="1"/>
  <c r="Y245" i="1"/>
  <c r="Y243" i="1"/>
  <c r="Y241" i="1"/>
  <c r="Y240" i="1"/>
  <c r="Y237" i="1"/>
  <c r="Y234" i="1"/>
  <c r="Y232" i="1"/>
  <c r="Y231" i="1"/>
  <c r="Y229" i="1"/>
  <c r="Y228" i="1"/>
  <c r="Y226" i="1"/>
  <c r="Y225" i="1"/>
  <c r="Y224" i="1"/>
  <c r="Y222" i="1"/>
  <c r="Y221" i="1"/>
  <c r="Y220" i="1"/>
  <c r="Y219" i="1"/>
  <c r="Y217" i="1"/>
  <c r="Y216" i="1"/>
  <c r="Y215" i="1"/>
  <c r="Y214" i="1"/>
  <c r="Y213" i="1"/>
  <c r="Y212" i="1"/>
  <c r="Y209" i="1"/>
  <c r="Y207" i="1"/>
  <c r="Y205" i="1"/>
  <c r="Y203" i="1"/>
  <c r="Y202" i="1"/>
  <c r="Y199" i="1"/>
  <c r="Y196" i="1"/>
  <c r="Y195" i="1"/>
  <c r="Y194" i="1"/>
  <c r="Y193" i="1"/>
  <c r="Y192" i="1"/>
  <c r="Y190" i="1"/>
  <c r="Y186" i="1"/>
  <c r="Y184" i="1"/>
  <c r="Y183" i="1"/>
  <c r="Y182" i="1"/>
  <c r="Y180" i="1"/>
  <c r="Y174" i="1"/>
  <c r="Y171" i="1"/>
  <c r="Y170" i="1"/>
  <c r="Y169" i="1"/>
  <c r="Y168" i="1"/>
  <c r="Y165" i="1"/>
  <c r="Y162" i="1"/>
  <c r="Y160" i="1"/>
  <c r="Y159" i="1"/>
  <c r="Y157" i="1"/>
  <c r="Y155" i="1"/>
  <c r="Y154" i="1"/>
  <c r="Y152" i="1"/>
  <c r="Y148" i="1"/>
  <c r="Y147" i="1"/>
  <c r="Y146" i="1"/>
  <c r="Y145" i="1"/>
  <c r="Y144" i="1"/>
  <c r="Y141" i="1"/>
  <c r="Y140" i="1"/>
  <c r="Y139" i="1"/>
  <c r="Y138" i="1"/>
  <c r="Y137" i="1"/>
  <c r="Y136" i="1"/>
  <c r="Y135" i="1"/>
  <c r="Y129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7" i="1"/>
  <c r="Y56" i="1"/>
  <c r="Y55" i="1"/>
  <c r="Y54" i="1"/>
  <c r="Y53" i="1"/>
  <c r="Y52" i="1"/>
  <c r="Y51" i="1"/>
  <c r="Y48" i="1"/>
  <c r="Y47" i="1"/>
  <c r="Y44" i="1"/>
  <c r="Y43" i="1"/>
  <c r="Y40" i="1"/>
  <c r="Y39" i="1"/>
  <c r="Y38" i="1"/>
  <c r="Y37" i="1"/>
  <c r="Y34" i="1"/>
  <c r="Y33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5" i="1"/>
  <c r="Y14" i="1"/>
  <c r="Y13" i="1"/>
  <c r="Y12" i="1"/>
  <c r="V327" i="1"/>
  <c r="V325" i="1"/>
  <c r="V323" i="1"/>
  <c r="V320" i="1"/>
  <c r="V317" i="1"/>
  <c r="V310" i="1"/>
  <c r="V309" i="1"/>
  <c r="V308" i="1"/>
  <c r="V304" i="1"/>
  <c r="V302" i="1"/>
  <c r="V300" i="1"/>
  <c r="V298" i="1"/>
  <c r="V297" i="1"/>
  <c r="V294" i="1"/>
  <c r="V293" i="1"/>
  <c r="V291" i="1"/>
  <c r="V290" i="1"/>
  <c r="V288" i="1"/>
  <c r="V287" i="1"/>
  <c r="V285" i="1"/>
  <c r="V284" i="1"/>
  <c r="V282" i="1"/>
  <c r="V281" i="1"/>
  <c r="V280" i="1"/>
  <c r="V279" i="1"/>
  <c r="V278" i="1"/>
  <c r="V277" i="1"/>
  <c r="V276" i="1"/>
  <c r="V273" i="1"/>
  <c r="V271" i="1"/>
  <c r="V269" i="1"/>
  <c r="V268" i="1"/>
  <c r="V267" i="1"/>
  <c r="V264" i="1"/>
  <c r="V262" i="1"/>
  <c r="V261" i="1"/>
  <c r="V260" i="1"/>
  <c r="V259" i="1"/>
  <c r="V258" i="1"/>
  <c r="V257" i="1"/>
  <c r="V256" i="1"/>
  <c r="V255" i="1"/>
  <c r="V253" i="1"/>
  <c r="V252" i="1"/>
  <c r="V251" i="1"/>
  <c r="V250" i="1"/>
  <c r="V248" i="1"/>
  <c r="V247" i="1"/>
  <c r="V245" i="1"/>
  <c r="V243" i="1"/>
  <c r="V241" i="1"/>
  <c r="V240" i="1"/>
  <c r="V237" i="1"/>
  <c r="V234" i="1"/>
  <c r="V232" i="1"/>
  <c r="V231" i="1"/>
  <c r="V229" i="1"/>
  <c r="V228" i="1"/>
  <c r="V226" i="1"/>
  <c r="V225" i="1"/>
  <c r="V224" i="1"/>
  <c r="V222" i="1"/>
  <c r="V221" i="1"/>
  <c r="V220" i="1"/>
  <c r="V219" i="1"/>
  <c r="V217" i="1"/>
  <c r="V216" i="1"/>
  <c r="V215" i="1"/>
  <c r="V214" i="1"/>
  <c r="V213" i="1"/>
  <c r="V212" i="1"/>
  <c r="V209" i="1"/>
  <c r="V207" i="1"/>
  <c r="V205" i="1"/>
  <c r="V203" i="1"/>
  <c r="V202" i="1"/>
  <c r="V199" i="1"/>
  <c r="V196" i="1"/>
  <c r="V195" i="1"/>
  <c r="V194" i="1"/>
  <c r="V193" i="1"/>
  <c r="V192" i="1"/>
  <c r="V190" i="1"/>
  <c r="V186" i="1"/>
  <c r="V184" i="1"/>
  <c r="V183" i="1"/>
  <c r="V182" i="1"/>
  <c r="V180" i="1"/>
  <c r="V171" i="1"/>
  <c r="V170" i="1"/>
  <c r="V169" i="1"/>
  <c r="V168" i="1"/>
  <c r="V165" i="1"/>
  <c r="V162" i="1"/>
  <c r="V160" i="1"/>
  <c r="V159" i="1"/>
  <c r="V157" i="1"/>
  <c r="V155" i="1"/>
  <c r="V154" i="1"/>
  <c r="V152" i="1"/>
  <c r="V148" i="1"/>
  <c r="V147" i="1"/>
  <c r="V146" i="1"/>
  <c r="V145" i="1"/>
  <c r="V144" i="1"/>
  <c r="V141" i="1"/>
  <c r="V140" i="1"/>
  <c r="V139" i="1"/>
  <c r="V138" i="1"/>
  <c r="V137" i="1"/>
  <c r="V136" i="1"/>
  <c r="V135" i="1"/>
  <c r="V129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7" i="1"/>
  <c r="V55" i="1"/>
  <c r="V54" i="1"/>
  <c r="V53" i="1"/>
  <c r="V52" i="1"/>
  <c r="V51" i="1"/>
  <c r="V48" i="1"/>
  <c r="V47" i="1"/>
  <c r="V44" i="1"/>
  <c r="V43" i="1"/>
  <c r="V40" i="1"/>
  <c r="V39" i="1"/>
  <c r="V38" i="1"/>
  <c r="V37" i="1"/>
  <c r="V34" i="1"/>
  <c r="V33" i="1"/>
  <c r="V30" i="1"/>
  <c r="V29" i="1"/>
  <c r="V27" i="1"/>
  <c r="V25" i="1"/>
  <c r="V24" i="1"/>
  <c r="V23" i="1"/>
  <c r="V22" i="1"/>
  <c r="V21" i="1"/>
  <c r="V20" i="1"/>
  <c r="V19" i="1"/>
  <c r="V18" i="1"/>
  <c r="V15" i="1"/>
  <c r="V14" i="1"/>
  <c r="V13" i="1"/>
  <c r="V12" i="1"/>
  <c r="S327" i="1"/>
  <c r="S325" i="1"/>
  <c r="S323" i="1"/>
  <c r="S320" i="1"/>
  <c r="S317" i="1"/>
  <c r="S310" i="1"/>
  <c r="S309" i="1"/>
  <c r="S308" i="1"/>
  <c r="S304" i="1"/>
  <c r="S302" i="1"/>
  <c r="S300" i="1"/>
  <c r="S298" i="1"/>
  <c r="S297" i="1"/>
  <c r="S294" i="1"/>
  <c r="S293" i="1"/>
  <c r="S291" i="1"/>
  <c r="S290" i="1"/>
  <c r="S288" i="1"/>
  <c r="S287" i="1"/>
  <c r="S285" i="1"/>
  <c r="S282" i="1"/>
  <c r="S281" i="1"/>
  <c r="S280" i="1"/>
  <c r="S279" i="1"/>
  <c r="S278" i="1"/>
  <c r="S277" i="1"/>
  <c r="S276" i="1"/>
  <c r="S273" i="1"/>
  <c r="S271" i="1"/>
  <c r="S269" i="1"/>
  <c r="S268" i="1"/>
  <c r="S267" i="1"/>
  <c r="S264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8" i="1"/>
  <c r="S247" i="1"/>
  <c r="S245" i="1"/>
  <c r="S243" i="1"/>
  <c r="S241" i="1"/>
  <c r="S240" i="1"/>
  <c r="S237" i="1"/>
  <c r="S234" i="1"/>
  <c r="S232" i="1"/>
  <c r="S231" i="1"/>
  <c r="S229" i="1"/>
  <c r="S228" i="1"/>
  <c r="S226" i="1"/>
  <c r="S225" i="1"/>
  <c r="S224" i="1"/>
  <c r="S222" i="1"/>
  <c r="S221" i="1"/>
  <c r="S220" i="1"/>
  <c r="S219" i="1"/>
  <c r="S217" i="1"/>
  <c r="S216" i="1"/>
  <c r="S215" i="1"/>
  <c r="S214" i="1"/>
  <c r="S213" i="1"/>
  <c r="S212" i="1"/>
  <c r="S209" i="1"/>
  <c r="S207" i="1"/>
  <c r="S203" i="1"/>
  <c r="S202" i="1"/>
  <c r="S199" i="1"/>
  <c r="S196" i="1"/>
  <c r="S195" i="1"/>
  <c r="S194" i="1"/>
  <c r="S193" i="1"/>
  <c r="S192" i="1"/>
  <c r="S190" i="1"/>
  <c r="S186" i="1"/>
  <c r="S184" i="1"/>
  <c r="S183" i="1"/>
  <c r="S182" i="1"/>
  <c r="S180" i="1"/>
  <c r="S174" i="1"/>
  <c r="S171" i="1"/>
  <c r="S170" i="1"/>
  <c r="S169" i="1"/>
  <c r="S168" i="1"/>
  <c r="S165" i="1"/>
  <c r="S162" i="1"/>
  <c r="S160" i="1"/>
  <c r="S159" i="1"/>
  <c r="S157" i="1"/>
  <c r="S155" i="1"/>
  <c r="S154" i="1"/>
  <c r="S152" i="1"/>
  <c r="S148" i="1"/>
  <c r="S147" i="1"/>
  <c r="S146" i="1"/>
  <c r="S145" i="1"/>
  <c r="S144" i="1"/>
  <c r="S141" i="1"/>
  <c r="S140" i="1"/>
  <c r="S139" i="1"/>
  <c r="S138" i="1"/>
  <c r="S137" i="1"/>
  <c r="S136" i="1"/>
  <c r="S135" i="1"/>
  <c r="S129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7" i="1"/>
  <c r="S56" i="1"/>
  <c r="S55" i="1"/>
  <c r="S54" i="1"/>
  <c r="S53" i="1"/>
  <c r="S52" i="1"/>
  <c r="S51" i="1"/>
  <c r="S48" i="1"/>
  <c r="S47" i="1"/>
  <c r="S44" i="1"/>
  <c r="S43" i="1"/>
  <c r="S40" i="1"/>
  <c r="S39" i="1"/>
  <c r="S38" i="1"/>
  <c r="S37" i="1"/>
  <c r="S34" i="1"/>
  <c r="S33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5" i="1"/>
  <c r="S14" i="1"/>
  <c r="S13" i="1"/>
  <c r="S12" i="1"/>
  <c r="P327" i="1"/>
  <c r="P325" i="1"/>
  <c r="P323" i="1"/>
  <c r="P320" i="1"/>
  <c r="P317" i="1"/>
  <c r="P310" i="1"/>
  <c r="P309" i="1"/>
  <c r="P308" i="1"/>
  <c r="P304" i="1"/>
  <c r="P302" i="1"/>
  <c r="P300" i="1"/>
  <c r="P298" i="1"/>
  <c r="P297" i="1"/>
  <c r="P294" i="1"/>
  <c r="P293" i="1"/>
  <c r="P291" i="1"/>
  <c r="P290" i="1"/>
  <c r="P288" i="1"/>
  <c r="P287" i="1"/>
  <c r="P285" i="1"/>
  <c r="P284" i="1"/>
  <c r="P282" i="1"/>
  <c r="P281" i="1"/>
  <c r="P280" i="1"/>
  <c r="P279" i="1"/>
  <c r="P278" i="1"/>
  <c r="P277" i="1"/>
  <c r="P276" i="1"/>
  <c r="P273" i="1"/>
  <c r="P271" i="1"/>
  <c r="P269" i="1"/>
  <c r="P268" i="1"/>
  <c r="P267" i="1"/>
  <c r="P264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8" i="1"/>
  <c r="P247" i="1"/>
  <c r="P245" i="1"/>
  <c r="P243" i="1"/>
  <c r="P241" i="1"/>
  <c r="P240" i="1"/>
  <c r="P237" i="1"/>
  <c r="P234" i="1"/>
  <c r="P232" i="1"/>
  <c r="P231" i="1"/>
  <c r="P229" i="1"/>
  <c r="P228" i="1"/>
  <c r="P226" i="1"/>
  <c r="P225" i="1"/>
  <c r="P224" i="1"/>
  <c r="P222" i="1"/>
  <c r="P221" i="1"/>
  <c r="P220" i="1"/>
  <c r="P219" i="1"/>
  <c r="P217" i="1"/>
  <c r="P216" i="1"/>
  <c r="P215" i="1"/>
  <c r="P214" i="1"/>
  <c r="P213" i="1"/>
  <c r="P212" i="1"/>
  <c r="P209" i="1"/>
  <c r="P207" i="1"/>
  <c r="P205" i="1"/>
  <c r="P203" i="1"/>
  <c r="P202" i="1"/>
  <c r="P199" i="1"/>
  <c r="P196" i="1"/>
  <c r="P195" i="1"/>
  <c r="P194" i="1"/>
  <c r="P193" i="1"/>
  <c r="P192" i="1"/>
  <c r="P190" i="1"/>
  <c r="P186" i="1"/>
  <c r="P184" i="1"/>
  <c r="P183" i="1"/>
  <c r="P182" i="1"/>
  <c r="P180" i="1"/>
  <c r="P174" i="1"/>
  <c r="P171" i="1"/>
  <c r="P170" i="1"/>
  <c r="P169" i="1"/>
  <c r="P168" i="1"/>
  <c r="P165" i="1"/>
  <c r="P162" i="1"/>
  <c r="P160" i="1"/>
  <c r="P159" i="1"/>
  <c r="P157" i="1"/>
  <c r="P155" i="1"/>
  <c r="P154" i="1"/>
  <c r="P152" i="1"/>
  <c r="P148" i="1"/>
  <c r="P147" i="1"/>
  <c r="P146" i="1"/>
  <c r="P145" i="1"/>
  <c r="P144" i="1"/>
  <c r="P141" i="1"/>
  <c r="P140" i="1"/>
  <c r="P139" i="1"/>
  <c r="P138" i="1"/>
  <c r="P137" i="1"/>
  <c r="P136" i="1"/>
  <c r="P135" i="1"/>
  <c r="P129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7" i="1"/>
  <c r="P56" i="1"/>
  <c r="P55" i="1"/>
  <c r="P54" i="1"/>
  <c r="P53" i="1"/>
  <c r="P52" i="1"/>
  <c r="P51" i="1"/>
  <c r="P48" i="1"/>
  <c r="P47" i="1"/>
  <c r="P44" i="1"/>
  <c r="P43" i="1"/>
  <c r="P40" i="1"/>
  <c r="P39" i="1"/>
  <c r="P38" i="1"/>
  <c r="P37" i="1"/>
  <c r="P34" i="1"/>
  <c r="P33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5" i="1"/>
  <c r="P14" i="1"/>
  <c r="P13" i="1"/>
  <c r="P12" i="1"/>
  <c r="M327" i="1"/>
  <c r="M325" i="1"/>
  <c r="M323" i="1"/>
  <c r="M320" i="1"/>
  <c r="M317" i="1"/>
  <c r="M310" i="1"/>
  <c r="M309" i="1"/>
  <c r="M308" i="1"/>
  <c r="M304" i="1"/>
  <c r="M302" i="1"/>
  <c r="M300" i="1"/>
  <c r="M298" i="1"/>
  <c r="M297" i="1"/>
  <c r="M294" i="1"/>
  <c r="M293" i="1"/>
  <c r="M291" i="1"/>
  <c r="M290" i="1"/>
  <c r="M288" i="1"/>
  <c r="M287" i="1"/>
  <c r="M285" i="1"/>
  <c r="M284" i="1"/>
  <c r="M282" i="1"/>
  <c r="M281" i="1"/>
  <c r="M280" i="1"/>
  <c r="M279" i="1"/>
  <c r="M278" i="1"/>
  <c r="M277" i="1"/>
  <c r="M276" i="1"/>
  <c r="M273" i="1"/>
  <c r="M271" i="1"/>
  <c r="M269" i="1"/>
  <c r="M268" i="1"/>
  <c r="M267" i="1"/>
  <c r="M264" i="1"/>
  <c r="M262" i="1"/>
  <c r="M261" i="1"/>
  <c r="M260" i="1"/>
  <c r="M259" i="1"/>
  <c r="M258" i="1"/>
  <c r="M257" i="1"/>
  <c r="M255" i="1"/>
  <c r="M254" i="1"/>
  <c r="M253" i="1"/>
  <c r="M252" i="1"/>
  <c r="M251" i="1"/>
  <c r="M250" i="1"/>
  <c r="M248" i="1"/>
  <c r="M247" i="1"/>
  <c r="M245" i="1"/>
  <c r="M243" i="1"/>
  <c r="M241" i="1"/>
  <c r="M240" i="1"/>
  <c r="M237" i="1"/>
  <c r="M234" i="1"/>
  <c r="M232" i="1"/>
  <c r="M231" i="1"/>
  <c r="M229" i="1"/>
  <c r="M228" i="1"/>
  <c r="M226" i="1"/>
  <c r="M225" i="1"/>
  <c r="M224" i="1"/>
  <c r="M222" i="1"/>
  <c r="M221" i="1"/>
  <c r="M220" i="1"/>
  <c r="M219" i="1"/>
  <c r="M217" i="1"/>
  <c r="M216" i="1"/>
  <c r="M215" i="1"/>
  <c r="M214" i="1"/>
  <c r="M213" i="1"/>
  <c r="M212" i="1"/>
  <c r="M209" i="1"/>
  <c r="M207" i="1"/>
  <c r="M205" i="1"/>
  <c r="M203" i="1"/>
  <c r="M202" i="1"/>
  <c r="M199" i="1"/>
  <c r="M196" i="1"/>
  <c r="M195" i="1"/>
  <c r="M194" i="1"/>
  <c r="M193" i="1"/>
  <c r="M192" i="1"/>
  <c r="M190" i="1"/>
  <c r="M186" i="1"/>
  <c r="M184" i="1"/>
  <c r="M183" i="1"/>
  <c r="M182" i="1"/>
  <c r="M180" i="1"/>
  <c r="M174" i="1"/>
  <c r="M171" i="1"/>
  <c r="M170" i="1"/>
  <c r="M169" i="1"/>
  <c r="M168" i="1"/>
  <c r="M165" i="1"/>
  <c r="M162" i="1"/>
  <c r="M160" i="1"/>
  <c r="M159" i="1"/>
  <c r="M157" i="1"/>
  <c r="M155" i="1"/>
  <c r="M154" i="1"/>
  <c r="M152" i="1"/>
  <c r="M148" i="1"/>
  <c r="M147" i="1"/>
  <c r="M146" i="1"/>
  <c r="M145" i="1"/>
  <c r="M144" i="1"/>
  <c r="M141" i="1"/>
  <c r="M140" i="1"/>
  <c r="M139" i="1"/>
  <c r="M138" i="1"/>
  <c r="M137" i="1"/>
  <c r="M135" i="1"/>
  <c r="M129" i="1"/>
  <c r="M94" i="1"/>
  <c r="M93" i="1"/>
  <c r="M92" i="1"/>
  <c r="M91" i="1"/>
  <c r="M90" i="1"/>
  <c r="M89" i="1"/>
  <c r="M88" i="1"/>
  <c r="M86" i="1"/>
  <c r="M85" i="1"/>
  <c r="M84" i="1"/>
  <c r="M83" i="1"/>
  <c r="M82" i="1"/>
  <c r="M79" i="1"/>
  <c r="M78" i="1"/>
  <c r="M77" i="1"/>
  <c r="M76" i="1"/>
  <c r="M75" i="1"/>
  <c r="M74" i="1"/>
  <c r="M73" i="1"/>
  <c r="M72" i="1"/>
  <c r="M71" i="1"/>
  <c r="M69" i="1"/>
  <c r="M68" i="1"/>
  <c r="M67" i="1"/>
  <c r="M66" i="1"/>
  <c r="M65" i="1"/>
  <c r="M64" i="1"/>
  <c r="M63" i="1"/>
  <c r="M62" i="1"/>
  <c r="M60" i="1"/>
  <c r="M57" i="1"/>
  <c r="M56" i="1"/>
  <c r="M55" i="1"/>
  <c r="M54" i="1"/>
  <c r="M53" i="1"/>
  <c r="M52" i="1"/>
  <c r="M51" i="1"/>
  <c r="M48" i="1"/>
  <c r="M47" i="1"/>
  <c r="M44" i="1"/>
  <c r="M43" i="1"/>
  <c r="M40" i="1"/>
  <c r="M39" i="1"/>
  <c r="M38" i="1"/>
  <c r="M37" i="1"/>
  <c r="M34" i="1"/>
  <c r="M33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5" i="1"/>
  <c r="M14" i="1"/>
  <c r="M13" i="1"/>
  <c r="M12" i="1"/>
  <c r="J327" i="1"/>
  <c r="J325" i="1"/>
  <c r="J323" i="1"/>
  <c r="J320" i="1"/>
  <c r="J317" i="1"/>
  <c r="J310" i="1"/>
  <c r="J309" i="1"/>
  <c r="J308" i="1"/>
  <c r="J304" i="1"/>
  <c r="J302" i="1"/>
  <c r="J300" i="1"/>
  <c r="J298" i="1"/>
  <c r="J297" i="1"/>
  <c r="J294" i="1"/>
  <c r="J293" i="1"/>
  <c r="J291" i="1"/>
  <c r="J290" i="1"/>
  <c r="J288" i="1"/>
  <c r="J287" i="1"/>
  <c r="J285" i="1"/>
  <c r="J284" i="1"/>
  <c r="J282" i="1"/>
  <c r="J281" i="1"/>
  <c r="J280" i="1"/>
  <c r="J279" i="1"/>
  <c r="J278" i="1"/>
  <c r="J277" i="1"/>
  <c r="J276" i="1"/>
  <c r="J273" i="1"/>
  <c r="J271" i="1"/>
  <c r="J269" i="1"/>
  <c r="J268" i="1"/>
  <c r="J267" i="1"/>
  <c r="J264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8" i="1"/>
  <c r="J247" i="1"/>
  <c r="J245" i="1"/>
  <c r="J243" i="1"/>
  <c r="J241" i="1"/>
  <c r="J240" i="1"/>
  <c r="J237" i="1"/>
  <c r="J234" i="1"/>
  <c r="J232" i="1"/>
  <c r="J231" i="1"/>
  <c r="J229" i="1"/>
  <c r="J228" i="1"/>
  <c r="J226" i="1"/>
  <c r="J225" i="1"/>
  <c r="J224" i="1"/>
  <c r="J222" i="1"/>
  <c r="J221" i="1"/>
  <c r="J220" i="1"/>
  <c r="J219" i="1"/>
  <c r="J217" i="1"/>
  <c r="J216" i="1"/>
  <c r="J215" i="1"/>
  <c r="J214" i="1"/>
  <c r="J213" i="1"/>
  <c r="J212" i="1"/>
  <c r="J209" i="1"/>
  <c r="J207" i="1"/>
  <c r="J205" i="1"/>
  <c r="J203" i="1"/>
  <c r="J202" i="1"/>
  <c r="J199" i="1"/>
  <c r="J196" i="1"/>
  <c r="J195" i="1"/>
  <c r="J194" i="1"/>
  <c r="J193" i="1"/>
  <c r="J192" i="1"/>
  <c r="J190" i="1"/>
  <c r="J186" i="1"/>
  <c r="J184" i="1"/>
  <c r="J183" i="1"/>
  <c r="J182" i="1"/>
  <c r="J180" i="1"/>
  <c r="J174" i="1"/>
  <c r="J171" i="1"/>
  <c r="J170" i="1"/>
  <c r="J169" i="1"/>
  <c r="J168" i="1"/>
  <c r="J165" i="1"/>
  <c r="J162" i="1"/>
  <c r="J160" i="1"/>
  <c r="J159" i="1"/>
  <c r="J157" i="1"/>
  <c r="J155" i="1"/>
  <c r="J154" i="1"/>
  <c r="J152" i="1"/>
  <c r="J148" i="1"/>
  <c r="J147" i="1"/>
  <c r="J146" i="1"/>
  <c r="J145" i="1"/>
  <c r="J144" i="1"/>
  <c r="J141" i="1"/>
  <c r="J140" i="1"/>
  <c r="J139" i="1"/>
  <c r="J138" i="1"/>
  <c r="J137" i="1"/>
  <c r="J136" i="1"/>
  <c r="J135" i="1"/>
  <c r="J129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3" i="1"/>
  <c r="J72" i="1"/>
  <c r="J71" i="1"/>
  <c r="J70" i="1"/>
  <c r="J69" i="1"/>
  <c r="J67" i="1"/>
  <c r="J66" i="1"/>
  <c r="J65" i="1"/>
  <c r="J64" i="1"/>
  <c r="J63" i="1"/>
  <c r="J62" i="1"/>
  <c r="J60" i="1"/>
  <c r="J57" i="1"/>
  <c r="J56" i="1"/>
  <c r="J55" i="1"/>
  <c r="J54" i="1"/>
  <c r="J53" i="1"/>
  <c r="J52" i="1"/>
  <c r="J51" i="1"/>
  <c r="J48" i="1"/>
  <c r="J47" i="1"/>
  <c r="J44" i="1"/>
  <c r="J43" i="1"/>
  <c r="J40" i="1"/>
  <c r="J39" i="1"/>
  <c r="J38" i="1"/>
  <c r="J37" i="1"/>
  <c r="J34" i="1"/>
  <c r="J33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5" i="1"/>
  <c r="J14" i="1"/>
  <c r="J13" i="1"/>
  <c r="J12" i="1"/>
  <c r="G327" i="1"/>
  <c r="G325" i="1"/>
  <c r="G323" i="1"/>
  <c r="G320" i="1"/>
  <c r="G317" i="1"/>
  <c r="G310" i="1"/>
  <c r="G309" i="1"/>
  <c r="G308" i="1"/>
  <c r="G304" i="1"/>
  <c r="G302" i="1"/>
  <c r="G300" i="1"/>
  <c r="G298" i="1"/>
  <c r="G297" i="1"/>
  <c r="G294" i="1"/>
  <c r="G293" i="1"/>
  <c r="G291" i="1"/>
  <c r="G290" i="1"/>
  <c r="G288" i="1"/>
  <c r="G287" i="1"/>
  <c r="G285" i="1"/>
  <c r="G284" i="1"/>
  <c r="G282" i="1"/>
  <c r="G281" i="1"/>
  <c r="G280" i="1"/>
  <c r="G279" i="1"/>
  <c r="G278" i="1"/>
  <c r="G277" i="1"/>
  <c r="G276" i="1"/>
  <c r="G273" i="1"/>
  <c r="G271" i="1"/>
  <c r="G269" i="1"/>
  <c r="G268" i="1"/>
  <c r="G267" i="1"/>
  <c r="G264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8" i="1"/>
  <c r="G247" i="1"/>
  <c r="G245" i="1"/>
  <c r="G243" i="1"/>
  <c r="G241" i="1"/>
  <c r="G240" i="1"/>
  <c r="G237" i="1"/>
  <c r="G234" i="1"/>
  <c r="G232" i="1"/>
  <c r="G231" i="1"/>
  <c r="G229" i="1"/>
  <c r="G228" i="1"/>
  <c r="G226" i="1"/>
  <c r="G225" i="1"/>
  <c r="G224" i="1"/>
  <c r="G222" i="1"/>
  <c r="G221" i="1"/>
  <c r="G220" i="1"/>
  <c r="G219" i="1"/>
  <c r="G217" i="1"/>
  <c r="G216" i="1"/>
  <c r="G215" i="1"/>
  <c r="G214" i="1"/>
  <c r="G213" i="1"/>
  <c r="G212" i="1"/>
  <c r="G209" i="1"/>
  <c r="G207" i="1"/>
  <c r="G205" i="1"/>
  <c r="G203" i="1"/>
  <c r="G202" i="1"/>
  <c r="G199" i="1"/>
  <c r="G196" i="1"/>
  <c r="G195" i="1"/>
  <c r="G194" i="1"/>
  <c r="G193" i="1"/>
  <c r="G192" i="1"/>
  <c r="G190" i="1"/>
  <c r="G186" i="1"/>
  <c r="G184" i="1"/>
  <c r="G183" i="1"/>
  <c r="G182" i="1"/>
  <c r="G180" i="1"/>
  <c r="G174" i="1"/>
  <c r="G171" i="1"/>
  <c r="G170" i="1"/>
  <c r="G169" i="1"/>
  <c r="G168" i="1"/>
  <c r="G165" i="1"/>
  <c r="G162" i="1"/>
  <c r="G160" i="1"/>
  <c r="G159" i="1"/>
  <c r="G157" i="1"/>
  <c r="G155" i="1"/>
  <c r="G154" i="1"/>
  <c r="G152" i="1"/>
  <c r="G148" i="1"/>
  <c r="G147" i="1"/>
  <c r="G146" i="1"/>
  <c r="G145" i="1"/>
  <c r="G144" i="1"/>
  <c r="G141" i="1"/>
  <c r="G140" i="1"/>
  <c r="G139" i="1"/>
  <c r="G138" i="1"/>
  <c r="G137" i="1"/>
  <c r="G136" i="1"/>
  <c r="G135" i="1"/>
  <c r="G129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51" i="1"/>
  <c r="G48" i="1"/>
  <c r="G47" i="1"/>
  <c r="G44" i="1"/>
  <c r="G43" i="1"/>
  <c r="G40" i="1"/>
  <c r="G39" i="1"/>
  <c r="G38" i="1"/>
  <c r="G37" i="1"/>
  <c r="G34" i="1"/>
  <c r="G33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5" i="1"/>
  <c r="G14" i="1"/>
  <c r="G13" i="1"/>
  <c r="F326" i="1"/>
  <c r="F324" i="1"/>
  <c r="F322" i="1"/>
  <c r="F316" i="1"/>
  <c r="F315" i="1" s="1"/>
  <c r="F307" i="1"/>
  <c r="F303" i="1"/>
  <c r="F301" i="1"/>
  <c r="F299" i="1"/>
  <c r="F296" i="1"/>
  <c r="F292" i="1"/>
  <c r="F289" i="1"/>
  <c r="F286" i="1"/>
  <c r="F283" i="1"/>
  <c r="F272" i="1"/>
  <c r="F266" i="1"/>
  <c r="F263" i="1"/>
  <c r="F249" i="1"/>
  <c r="F246" i="1"/>
  <c r="F242" i="1"/>
  <c r="F239" i="1"/>
  <c r="F233" i="1"/>
  <c r="F230" i="1"/>
  <c r="F227" i="1"/>
  <c r="F223" i="1"/>
  <c r="F218" i="1"/>
  <c r="F211" i="1"/>
  <c r="F208" i="1"/>
  <c r="F204" i="1"/>
  <c r="F201" i="1"/>
  <c r="F191" i="1"/>
  <c r="F185" i="1"/>
  <c r="F181" i="1"/>
  <c r="F173" i="1"/>
  <c r="F167" i="1"/>
  <c r="F161" i="1"/>
  <c r="F158" i="1"/>
  <c r="F156" i="1"/>
  <c r="F151" i="1"/>
  <c r="F143" i="1"/>
  <c r="F128" i="1"/>
  <c r="F58" i="1"/>
  <c r="F50" i="1" s="1"/>
  <c r="F46" i="1"/>
  <c r="F42" i="1"/>
  <c r="F32" i="1"/>
  <c r="F17" i="1"/>
  <c r="F16" i="1" s="1"/>
  <c r="F12" i="1"/>
  <c r="C12" i="1" s="1"/>
  <c r="C327" i="1"/>
  <c r="C325" i="1"/>
  <c r="C323" i="1"/>
  <c r="C320" i="1"/>
  <c r="C317" i="1"/>
  <c r="C310" i="1"/>
  <c r="C309" i="1"/>
  <c r="C308" i="1"/>
  <c r="C304" i="1"/>
  <c r="C302" i="1"/>
  <c r="C300" i="1"/>
  <c r="C298" i="1"/>
  <c r="C297" i="1"/>
  <c r="C294" i="1"/>
  <c r="C293" i="1"/>
  <c r="C291" i="1"/>
  <c r="C290" i="1"/>
  <c r="C288" i="1"/>
  <c r="C287" i="1"/>
  <c r="C285" i="1"/>
  <c r="C282" i="1"/>
  <c r="C281" i="1"/>
  <c r="C280" i="1"/>
  <c r="C279" i="1"/>
  <c r="C278" i="1"/>
  <c r="C277" i="1"/>
  <c r="C276" i="1"/>
  <c r="C273" i="1"/>
  <c r="C271" i="1"/>
  <c r="C269" i="1"/>
  <c r="C268" i="1"/>
  <c r="C267" i="1"/>
  <c r="C264" i="1"/>
  <c r="C262" i="1"/>
  <c r="C261" i="1"/>
  <c r="C260" i="1"/>
  <c r="C259" i="1"/>
  <c r="C258" i="1"/>
  <c r="C257" i="1"/>
  <c r="C253" i="1"/>
  <c r="C252" i="1"/>
  <c r="C251" i="1"/>
  <c r="C250" i="1"/>
  <c r="C248" i="1"/>
  <c r="C247" i="1"/>
  <c r="C245" i="1"/>
  <c r="C243" i="1"/>
  <c r="C241" i="1"/>
  <c r="C240" i="1"/>
  <c r="C237" i="1"/>
  <c r="C234" i="1"/>
  <c r="C232" i="1"/>
  <c r="C231" i="1"/>
  <c r="C229" i="1"/>
  <c r="C228" i="1"/>
  <c r="C226" i="1"/>
  <c r="C225" i="1"/>
  <c r="C224" i="1"/>
  <c r="C222" i="1"/>
  <c r="C221" i="1"/>
  <c r="C220" i="1"/>
  <c r="C219" i="1"/>
  <c r="C217" i="1"/>
  <c r="C216" i="1"/>
  <c r="C215" i="1"/>
  <c r="C214" i="1"/>
  <c r="C213" i="1"/>
  <c r="C212" i="1"/>
  <c r="C209" i="1"/>
  <c r="C207" i="1"/>
  <c r="C205" i="1"/>
  <c r="C203" i="1"/>
  <c r="C202" i="1"/>
  <c r="C199" i="1"/>
  <c r="C196" i="1"/>
  <c r="C195" i="1"/>
  <c r="C194" i="1"/>
  <c r="C193" i="1"/>
  <c r="C192" i="1"/>
  <c r="C190" i="1"/>
  <c r="C186" i="1"/>
  <c r="C184" i="1"/>
  <c r="C183" i="1"/>
  <c r="C180" i="1"/>
  <c r="C174" i="1"/>
  <c r="C171" i="1"/>
  <c r="C170" i="1"/>
  <c r="C169" i="1"/>
  <c r="C168" i="1"/>
  <c r="C165" i="1"/>
  <c r="C162" i="1"/>
  <c r="C160" i="1"/>
  <c r="C159" i="1"/>
  <c r="C157" i="1"/>
  <c r="C155" i="1"/>
  <c r="C154" i="1"/>
  <c r="C152" i="1"/>
  <c r="C148" i="1"/>
  <c r="C147" i="1"/>
  <c r="C146" i="1"/>
  <c r="C145" i="1"/>
  <c r="C144" i="1"/>
  <c r="C141" i="1"/>
  <c r="C140" i="1"/>
  <c r="C139" i="1"/>
  <c r="C138" i="1"/>
  <c r="C137" i="1"/>
  <c r="C135" i="1"/>
  <c r="C129" i="1"/>
  <c r="C94" i="1"/>
  <c r="C93" i="1"/>
  <c r="C92" i="1"/>
  <c r="C91" i="1"/>
  <c r="C90" i="1"/>
  <c r="C89" i="1"/>
  <c r="C88" i="1"/>
  <c r="C86" i="1"/>
  <c r="C85" i="1"/>
  <c r="C84" i="1"/>
  <c r="C83" i="1"/>
  <c r="C82" i="1"/>
  <c r="C81" i="1"/>
  <c r="C80" i="1"/>
  <c r="C79" i="1"/>
  <c r="C78" i="1"/>
  <c r="C77" i="1"/>
  <c r="C76" i="1"/>
  <c r="C75" i="1"/>
  <c r="C73" i="1"/>
  <c r="C72" i="1"/>
  <c r="C71" i="1"/>
  <c r="C69" i="1"/>
  <c r="C67" i="1"/>
  <c r="C66" i="1"/>
  <c r="C65" i="1"/>
  <c r="C64" i="1"/>
  <c r="C63" i="1"/>
  <c r="C62" i="1"/>
  <c r="C60" i="1"/>
  <c r="C57" i="1"/>
  <c r="C56" i="1"/>
  <c r="C55" i="1"/>
  <c r="C54" i="1"/>
  <c r="C53" i="1"/>
  <c r="C52" i="1"/>
  <c r="C51" i="1"/>
  <c r="C48" i="1"/>
  <c r="C47" i="1"/>
  <c r="C44" i="1"/>
  <c r="C43" i="1"/>
  <c r="C40" i="1"/>
  <c r="C39" i="1"/>
  <c r="C38" i="1"/>
  <c r="C37" i="1"/>
  <c r="C34" i="1"/>
  <c r="C33" i="1"/>
  <c r="C30" i="1"/>
  <c r="C29" i="1"/>
  <c r="C27" i="1"/>
  <c r="C25" i="1"/>
  <c r="C24" i="1"/>
  <c r="C23" i="1"/>
  <c r="C22" i="1"/>
  <c r="C21" i="1"/>
  <c r="C20" i="1"/>
  <c r="C19" i="1"/>
  <c r="C18" i="1"/>
  <c r="C15" i="1"/>
  <c r="C14" i="1"/>
  <c r="C13" i="1"/>
  <c r="W326" i="1"/>
  <c r="W324" i="1"/>
  <c r="W322" i="1"/>
  <c r="W316" i="1"/>
  <c r="W315" i="1" s="1"/>
  <c r="W307" i="1"/>
  <c r="W303" i="1"/>
  <c r="W301" i="1"/>
  <c r="W299" i="1"/>
  <c r="W296" i="1"/>
  <c r="W292" i="1"/>
  <c r="W289" i="1"/>
  <c r="W286" i="1"/>
  <c r="Y286" i="1" s="1"/>
  <c r="W283" i="1"/>
  <c r="W272" i="1"/>
  <c r="W266" i="1"/>
  <c r="W263" i="1"/>
  <c r="Y263" i="1" s="1"/>
  <c r="W249" i="1"/>
  <c r="W246" i="1"/>
  <c r="W242" i="1"/>
  <c r="W239" i="1"/>
  <c r="Y239" i="1" s="1"/>
  <c r="W233" i="1"/>
  <c r="W230" i="1"/>
  <c r="W227" i="1"/>
  <c r="W223" i="1"/>
  <c r="W218" i="1"/>
  <c r="W211" i="1"/>
  <c r="W208" i="1"/>
  <c r="W204" i="1"/>
  <c r="W201" i="1"/>
  <c r="W191" i="1"/>
  <c r="W185" i="1"/>
  <c r="W181" i="1"/>
  <c r="W173" i="1"/>
  <c r="W167" i="1"/>
  <c r="W161" i="1"/>
  <c r="Y161" i="1" s="1"/>
  <c r="W158" i="1"/>
  <c r="W156" i="1"/>
  <c r="W151" i="1"/>
  <c r="W143" i="1"/>
  <c r="W128" i="1"/>
  <c r="W58" i="1"/>
  <c r="W50" i="1" s="1"/>
  <c r="W46" i="1"/>
  <c r="W45" i="1" s="1"/>
  <c r="W42" i="1"/>
  <c r="W32" i="1"/>
  <c r="W31" i="1" s="1"/>
  <c r="W17" i="1"/>
  <c r="W16" i="1" s="1"/>
  <c r="W11" i="1"/>
  <c r="W10" i="1" s="1"/>
  <c r="N11" i="1"/>
  <c r="Q11" i="1"/>
  <c r="Q10" i="1" s="1"/>
  <c r="N17" i="1"/>
  <c r="N16" i="1" s="1"/>
  <c r="Q17" i="1"/>
  <c r="Q16" i="1" s="1"/>
  <c r="N32" i="1"/>
  <c r="N31" i="1" s="1"/>
  <c r="Q32" i="1"/>
  <c r="Q31" i="1" s="1"/>
  <c r="N42" i="1"/>
  <c r="N41" i="1" s="1"/>
  <c r="Q42" i="1"/>
  <c r="N46" i="1"/>
  <c r="Q46" i="1"/>
  <c r="Q45" i="1" s="1"/>
  <c r="N58" i="1"/>
  <c r="Q58" i="1"/>
  <c r="Q50" i="1" s="1"/>
  <c r="N128" i="1"/>
  <c r="N127" i="1" s="1"/>
  <c r="Q128" i="1"/>
  <c r="N143" i="1"/>
  <c r="N142" i="1" s="1"/>
  <c r="Q143" i="1"/>
  <c r="Q142" i="1" s="1"/>
  <c r="N151" i="1"/>
  <c r="Q151" i="1"/>
  <c r="N156" i="1"/>
  <c r="Q156" i="1"/>
  <c r="N158" i="1"/>
  <c r="Q158" i="1"/>
  <c r="N161" i="1"/>
  <c r="Q161" i="1"/>
  <c r="N167" i="1"/>
  <c r="Q167" i="1"/>
  <c r="N173" i="1"/>
  <c r="Q173" i="1"/>
  <c r="N181" i="1"/>
  <c r="Q181" i="1"/>
  <c r="N185" i="1"/>
  <c r="Q185" i="1"/>
  <c r="N191" i="1"/>
  <c r="Q191" i="1"/>
  <c r="N201" i="1"/>
  <c r="Q201" i="1"/>
  <c r="N204" i="1"/>
  <c r="Q205" i="1"/>
  <c r="Q204" i="1" s="1"/>
  <c r="N208" i="1"/>
  <c r="Q208" i="1"/>
  <c r="N211" i="1"/>
  <c r="Q211" i="1"/>
  <c r="N218" i="1"/>
  <c r="Q218" i="1"/>
  <c r="N223" i="1"/>
  <c r="Q223" i="1"/>
  <c r="N227" i="1"/>
  <c r="Q227" i="1"/>
  <c r="N230" i="1"/>
  <c r="Q230" i="1"/>
  <c r="N233" i="1"/>
  <c r="Q233" i="1"/>
  <c r="N239" i="1"/>
  <c r="Q239" i="1"/>
  <c r="N242" i="1"/>
  <c r="Q242" i="1"/>
  <c r="N246" i="1"/>
  <c r="Q246" i="1"/>
  <c r="N249" i="1"/>
  <c r="Q249" i="1"/>
  <c r="N263" i="1"/>
  <c r="Q263" i="1"/>
  <c r="N266" i="1"/>
  <c r="Q266" i="1"/>
  <c r="N272" i="1"/>
  <c r="Q272" i="1"/>
  <c r="N283" i="1"/>
  <c r="Q284" i="1"/>
  <c r="Q283" i="1" s="1"/>
  <c r="N286" i="1"/>
  <c r="Q286" i="1"/>
  <c r="N289" i="1"/>
  <c r="Q289" i="1"/>
  <c r="N292" i="1"/>
  <c r="Q292" i="1"/>
  <c r="N296" i="1"/>
  <c r="Q296" i="1"/>
  <c r="N299" i="1"/>
  <c r="Q299" i="1"/>
  <c r="N301" i="1"/>
  <c r="Q301" i="1"/>
  <c r="N303" i="1"/>
  <c r="Q303" i="1"/>
  <c r="N307" i="1"/>
  <c r="N306" i="1" s="1"/>
  <c r="N305" i="1" s="1"/>
  <c r="Q307" i="1"/>
  <c r="Q306" i="1" s="1"/>
  <c r="Q305" i="1" s="1"/>
  <c r="N316" i="1"/>
  <c r="N315" i="1" s="1"/>
  <c r="Q316" i="1"/>
  <c r="Q315" i="1" s="1"/>
  <c r="N322" i="1"/>
  <c r="Q322" i="1"/>
  <c r="N324" i="1"/>
  <c r="Q324" i="1"/>
  <c r="N326" i="1"/>
  <c r="Q326" i="1"/>
  <c r="S326" i="1" s="1"/>
  <c r="B327" i="1"/>
  <c r="Z326" i="1"/>
  <c r="AB326" i="1" s="1"/>
  <c r="T326" i="1"/>
  <c r="K326" i="1"/>
  <c r="H326" i="1"/>
  <c r="E326" i="1"/>
  <c r="B325" i="1"/>
  <c r="Z324" i="1"/>
  <c r="T324" i="1"/>
  <c r="K324" i="1"/>
  <c r="H324" i="1"/>
  <c r="E324" i="1"/>
  <c r="B323" i="1"/>
  <c r="Z322" i="1"/>
  <c r="T322" i="1"/>
  <c r="K322" i="1"/>
  <c r="H322" i="1"/>
  <c r="E322" i="1"/>
  <c r="B320" i="1"/>
  <c r="B317" i="1"/>
  <c r="Z316" i="1"/>
  <c r="Z315" i="1" s="1"/>
  <c r="T316" i="1"/>
  <c r="T315" i="1" s="1"/>
  <c r="K316" i="1"/>
  <c r="K315" i="1" s="1"/>
  <c r="H316" i="1"/>
  <c r="H315" i="1" s="1"/>
  <c r="E316" i="1"/>
  <c r="E315" i="1" s="1"/>
  <c r="B310" i="1"/>
  <c r="B309" i="1"/>
  <c r="B308" i="1"/>
  <c r="Z307" i="1"/>
  <c r="Z306" i="1" s="1"/>
  <c r="Z305" i="1" s="1"/>
  <c r="T307" i="1"/>
  <c r="T306" i="1" s="1"/>
  <c r="T305" i="1" s="1"/>
  <c r="K307" i="1"/>
  <c r="H307" i="1"/>
  <c r="H306" i="1" s="1"/>
  <c r="H305" i="1" s="1"/>
  <c r="E307" i="1"/>
  <c r="E306" i="1" s="1"/>
  <c r="E305" i="1" s="1"/>
  <c r="B304" i="1"/>
  <c r="Z303" i="1"/>
  <c r="T303" i="1"/>
  <c r="K303" i="1"/>
  <c r="H303" i="1"/>
  <c r="E303" i="1"/>
  <c r="B302" i="1"/>
  <c r="Z301" i="1"/>
  <c r="T301" i="1"/>
  <c r="K301" i="1"/>
  <c r="H301" i="1"/>
  <c r="B300" i="1"/>
  <c r="Z299" i="1"/>
  <c r="T299" i="1"/>
  <c r="K299" i="1"/>
  <c r="H299" i="1"/>
  <c r="E299" i="1"/>
  <c r="B298" i="1"/>
  <c r="B297" i="1"/>
  <c r="Z296" i="1"/>
  <c r="T296" i="1"/>
  <c r="K296" i="1"/>
  <c r="H296" i="1"/>
  <c r="E296" i="1"/>
  <c r="B294" i="1"/>
  <c r="B293" i="1"/>
  <c r="Z292" i="1"/>
  <c r="T292" i="1"/>
  <c r="K292" i="1"/>
  <c r="H292" i="1"/>
  <c r="E292" i="1"/>
  <c r="B291" i="1"/>
  <c r="B290" i="1"/>
  <c r="Z289" i="1"/>
  <c r="T289" i="1"/>
  <c r="K289" i="1"/>
  <c r="H289" i="1"/>
  <c r="E289" i="1"/>
  <c r="B288" i="1"/>
  <c r="B287" i="1"/>
  <c r="Z286" i="1"/>
  <c r="T286" i="1"/>
  <c r="K286" i="1"/>
  <c r="H286" i="1"/>
  <c r="E286" i="1"/>
  <c r="B285" i="1"/>
  <c r="Z283" i="1"/>
  <c r="T283" i="1"/>
  <c r="K283" i="1"/>
  <c r="H283" i="1"/>
  <c r="E283" i="1"/>
  <c r="B282" i="1"/>
  <c r="B281" i="1"/>
  <c r="B280" i="1"/>
  <c r="B279" i="1"/>
  <c r="B278" i="1"/>
  <c r="B277" i="1"/>
  <c r="B276" i="1"/>
  <c r="B273" i="1"/>
  <c r="Z272" i="1"/>
  <c r="T272" i="1"/>
  <c r="K272" i="1"/>
  <c r="H272" i="1"/>
  <c r="E272" i="1"/>
  <c r="B271" i="1"/>
  <c r="B269" i="1"/>
  <c r="B268" i="1"/>
  <c r="B267" i="1"/>
  <c r="Z266" i="1"/>
  <c r="T266" i="1"/>
  <c r="K266" i="1"/>
  <c r="H266" i="1"/>
  <c r="E266" i="1"/>
  <c r="B264" i="1"/>
  <c r="Z263" i="1"/>
  <c r="T263" i="1"/>
  <c r="K263" i="1"/>
  <c r="H263" i="1"/>
  <c r="E263" i="1"/>
  <c r="B262" i="1"/>
  <c r="B261" i="1"/>
  <c r="B260" i="1"/>
  <c r="B259" i="1"/>
  <c r="B258" i="1"/>
  <c r="B257" i="1"/>
  <c r="K256" i="1"/>
  <c r="B256" i="1" s="1"/>
  <c r="Z255" i="1"/>
  <c r="B255" i="1" s="1"/>
  <c r="T254" i="1"/>
  <c r="B253" i="1"/>
  <c r="B252" i="1"/>
  <c r="B251" i="1"/>
  <c r="B250" i="1"/>
  <c r="H249" i="1"/>
  <c r="E249" i="1"/>
  <c r="B248" i="1"/>
  <c r="B247" i="1"/>
  <c r="Z246" i="1"/>
  <c r="T246" i="1"/>
  <c r="K246" i="1"/>
  <c r="H246" i="1"/>
  <c r="E246" i="1"/>
  <c r="B245" i="1"/>
  <c r="B243" i="1"/>
  <c r="Z242" i="1"/>
  <c r="T242" i="1"/>
  <c r="K242" i="1"/>
  <c r="M242" i="1" s="1"/>
  <c r="H242" i="1"/>
  <c r="E242" i="1"/>
  <c r="B241" i="1"/>
  <c r="B240" i="1"/>
  <c r="Z239" i="1"/>
  <c r="T239" i="1"/>
  <c r="K239" i="1"/>
  <c r="H239" i="1"/>
  <c r="E239" i="1"/>
  <c r="B237" i="1"/>
  <c r="M236" i="1"/>
  <c r="B234" i="1"/>
  <c r="Z233" i="1"/>
  <c r="T233" i="1"/>
  <c r="K233" i="1"/>
  <c r="H233" i="1"/>
  <c r="E233" i="1"/>
  <c r="B232" i="1"/>
  <c r="B231" i="1"/>
  <c r="Z230" i="1"/>
  <c r="T230" i="1"/>
  <c r="K230" i="1"/>
  <c r="H230" i="1"/>
  <c r="E230" i="1"/>
  <c r="B229" i="1"/>
  <c r="B228" i="1"/>
  <c r="Z227" i="1"/>
  <c r="T227" i="1"/>
  <c r="K227" i="1"/>
  <c r="H227" i="1"/>
  <c r="E227" i="1"/>
  <c r="B226" i="1"/>
  <c r="B225" i="1"/>
  <c r="B224" i="1"/>
  <c r="Z223" i="1"/>
  <c r="T223" i="1"/>
  <c r="K223" i="1"/>
  <c r="H223" i="1"/>
  <c r="E223" i="1"/>
  <c r="B222" i="1"/>
  <c r="B221" i="1"/>
  <c r="B220" i="1"/>
  <c r="B219" i="1"/>
  <c r="Z218" i="1"/>
  <c r="T218" i="1"/>
  <c r="K218" i="1"/>
  <c r="H218" i="1"/>
  <c r="E218" i="1"/>
  <c r="B217" i="1"/>
  <c r="B216" i="1"/>
  <c r="B215" i="1"/>
  <c r="B214" i="1"/>
  <c r="B213" i="1"/>
  <c r="B212" i="1"/>
  <c r="Z211" i="1"/>
  <c r="T211" i="1"/>
  <c r="K211" i="1"/>
  <c r="H211" i="1"/>
  <c r="E211" i="1"/>
  <c r="B209" i="1"/>
  <c r="Z208" i="1"/>
  <c r="T208" i="1"/>
  <c r="K208" i="1"/>
  <c r="H208" i="1"/>
  <c r="E208" i="1"/>
  <c r="B207" i="1"/>
  <c r="B205" i="1"/>
  <c r="Z204" i="1"/>
  <c r="T204" i="1"/>
  <c r="K204" i="1"/>
  <c r="H204" i="1"/>
  <c r="E204" i="1"/>
  <c r="B203" i="1"/>
  <c r="B202" i="1"/>
  <c r="Z201" i="1"/>
  <c r="T201" i="1"/>
  <c r="K201" i="1"/>
  <c r="H201" i="1"/>
  <c r="E201" i="1"/>
  <c r="B199" i="1"/>
  <c r="B196" i="1"/>
  <c r="B195" i="1"/>
  <c r="B194" i="1"/>
  <c r="B193" i="1"/>
  <c r="B192" i="1"/>
  <c r="Z191" i="1"/>
  <c r="T191" i="1"/>
  <c r="K191" i="1"/>
  <c r="H191" i="1"/>
  <c r="E191" i="1"/>
  <c r="B190" i="1"/>
  <c r="B186" i="1"/>
  <c r="Z185" i="1"/>
  <c r="T185" i="1"/>
  <c r="K185" i="1"/>
  <c r="H185" i="1"/>
  <c r="E185" i="1"/>
  <c r="B184" i="1"/>
  <c r="B183" i="1"/>
  <c r="Z182" i="1"/>
  <c r="Z181" i="1" s="1"/>
  <c r="T181" i="1"/>
  <c r="K181" i="1"/>
  <c r="H181" i="1"/>
  <c r="E181" i="1"/>
  <c r="B180" i="1"/>
  <c r="T174" i="1"/>
  <c r="B174" i="1" s="1"/>
  <c r="Z173" i="1"/>
  <c r="K173" i="1"/>
  <c r="H173" i="1"/>
  <c r="E173" i="1"/>
  <c r="B171" i="1"/>
  <c r="B170" i="1"/>
  <c r="B169" i="1"/>
  <c r="B168" i="1"/>
  <c r="Z167" i="1"/>
  <c r="T167" i="1"/>
  <c r="K167" i="1"/>
  <c r="H167" i="1"/>
  <c r="E167" i="1"/>
  <c r="B165" i="1"/>
  <c r="B162" i="1"/>
  <c r="Z161" i="1"/>
  <c r="T161" i="1"/>
  <c r="K161" i="1"/>
  <c r="H161" i="1"/>
  <c r="E161" i="1"/>
  <c r="B160" i="1"/>
  <c r="B159" i="1"/>
  <c r="Z158" i="1"/>
  <c r="T158" i="1"/>
  <c r="K158" i="1"/>
  <c r="H158" i="1"/>
  <c r="E158" i="1"/>
  <c r="B157" i="1"/>
  <c r="Z156" i="1"/>
  <c r="T156" i="1"/>
  <c r="K156" i="1"/>
  <c r="H156" i="1"/>
  <c r="E156" i="1"/>
  <c r="B155" i="1"/>
  <c r="B154" i="1"/>
  <c r="B152" i="1"/>
  <c r="Z151" i="1"/>
  <c r="T151" i="1"/>
  <c r="K151" i="1"/>
  <c r="H151" i="1"/>
  <c r="E151" i="1"/>
  <c r="B148" i="1"/>
  <c r="B147" i="1"/>
  <c r="B146" i="1"/>
  <c r="B145" i="1"/>
  <c r="B144" i="1"/>
  <c r="Z143" i="1"/>
  <c r="Z142" i="1" s="1"/>
  <c r="T143" i="1"/>
  <c r="T142" i="1" s="1"/>
  <c r="K143" i="1"/>
  <c r="K142" i="1" s="1"/>
  <c r="H143" i="1"/>
  <c r="H142" i="1" s="1"/>
  <c r="E143" i="1"/>
  <c r="E142" i="1" s="1"/>
  <c r="B141" i="1"/>
  <c r="B140" i="1"/>
  <c r="B139" i="1"/>
  <c r="B138" i="1"/>
  <c r="B137" i="1"/>
  <c r="K136" i="1"/>
  <c r="B136" i="1" s="1"/>
  <c r="B135" i="1"/>
  <c r="B129" i="1"/>
  <c r="Z128" i="1"/>
  <c r="T128" i="1"/>
  <c r="H128" i="1"/>
  <c r="H127" i="1" s="1"/>
  <c r="E128" i="1"/>
  <c r="E127" i="1" s="1"/>
  <c r="B94" i="1"/>
  <c r="B93" i="1"/>
  <c r="B92" i="1"/>
  <c r="B91" i="1"/>
  <c r="B90" i="1"/>
  <c r="B89" i="1"/>
  <c r="B88" i="1"/>
  <c r="K87" i="1"/>
  <c r="B87" i="1" s="1"/>
  <c r="B86" i="1"/>
  <c r="B85" i="1"/>
  <c r="B84" i="1"/>
  <c r="B83" i="1"/>
  <c r="B82" i="1"/>
  <c r="K81" i="1"/>
  <c r="B81" i="1" s="1"/>
  <c r="K80" i="1"/>
  <c r="B80" i="1" s="1"/>
  <c r="B79" i="1"/>
  <c r="B78" i="1"/>
  <c r="B77" i="1"/>
  <c r="B76" i="1"/>
  <c r="B75" i="1"/>
  <c r="H74" i="1"/>
  <c r="B74" i="1" s="1"/>
  <c r="B73" i="1"/>
  <c r="B72" i="1"/>
  <c r="B71" i="1"/>
  <c r="K70" i="1"/>
  <c r="B70" i="1" s="1"/>
  <c r="B69" i="1"/>
  <c r="H68" i="1"/>
  <c r="B68" i="1" s="1"/>
  <c r="B67" i="1"/>
  <c r="B66" i="1"/>
  <c r="B65" i="1"/>
  <c r="B64" i="1"/>
  <c r="B63" i="1"/>
  <c r="B62" i="1"/>
  <c r="K61" i="1"/>
  <c r="M61" i="1" s="1"/>
  <c r="H61" i="1"/>
  <c r="B60" i="1"/>
  <c r="K59" i="1"/>
  <c r="M59" i="1" s="1"/>
  <c r="H59" i="1"/>
  <c r="J59" i="1" s="1"/>
  <c r="Z58" i="1"/>
  <c r="T58" i="1"/>
  <c r="E58" i="1"/>
  <c r="E50" i="1" s="1"/>
  <c r="B57" i="1"/>
  <c r="T56" i="1"/>
  <c r="B55" i="1"/>
  <c r="B54" i="1"/>
  <c r="B53" i="1"/>
  <c r="B52" i="1"/>
  <c r="B51" i="1"/>
  <c r="B48" i="1"/>
  <c r="B47" i="1"/>
  <c r="Z46" i="1"/>
  <c r="Z45" i="1" s="1"/>
  <c r="T46" i="1"/>
  <c r="T45" i="1" s="1"/>
  <c r="K46" i="1"/>
  <c r="K45" i="1" s="1"/>
  <c r="H46" i="1"/>
  <c r="H45" i="1" s="1"/>
  <c r="E46" i="1"/>
  <c r="B44" i="1"/>
  <c r="B43" i="1"/>
  <c r="Z42" i="1"/>
  <c r="T42" i="1"/>
  <c r="T41" i="1" s="1"/>
  <c r="K42" i="1"/>
  <c r="K41" i="1" s="1"/>
  <c r="H42" i="1"/>
  <c r="H41" i="1" s="1"/>
  <c r="E42" i="1"/>
  <c r="B40" i="1"/>
  <c r="B39" i="1"/>
  <c r="B38" i="1"/>
  <c r="B37" i="1"/>
  <c r="B34" i="1"/>
  <c r="B33" i="1"/>
  <c r="Z32" i="1"/>
  <c r="Z31" i="1" s="1"/>
  <c r="T32" i="1"/>
  <c r="V32" i="1" s="1"/>
  <c r="K32" i="1"/>
  <c r="K31" i="1" s="1"/>
  <c r="H32" i="1"/>
  <c r="H31" i="1" s="1"/>
  <c r="E32" i="1"/>
  <c r="T31" i="1"/>
  <c r="B30" i="1"/>
  <c r="B29" i="1"/>
  <c r="T28" i="1"/>
  <c r="B28" i="1" s="1"/>
  <c r="B27" i="1"/>
  <c r="T26" i="1"/>
  <c r="B25" i="1"/>
  <c r="B24" i="1"/>
  <c r="B23" i="1"/>
  <c r="B22" i="1"/>
  <c r="B21" i="1"/>
  <c r="B20" i="1"/>
  <c r="B19" i="1"/>
  <c r="B18" i="1"/>
  <c r="Z17" i="1"/>
  <c r="Z16" i="1" s="1"/>
  <c r="K17" i="1"/>
  <c r="K16" i="1" s="1"/>
  <c r="H17" i="1"/>
  <c r="H16" i="1" s="1"/>
  <c r="E17" i="1"/>
  <c r="E16" i="1" s="1"/>
  <c r="B15" i="1"/>
  <c r="B14" i="1"/>
  <c r="B13" i="1"/>
  <c r="E12" i="1"/>
  <c r="B12" i="1" s="1"/>
  <c r="Z11" i="1"/>
  <c r="Z10" i="1" s="1"/>
  <c r="T11" i="1"/>
  <c r="K11" i="1"/>
  <c r="H11" i="1"/>
  <c r="C59" i="1" l="1"/>
  <c r="T50" i="1"/>
  <c r="U50" i="1"/>
  <c r="U49" i="1" s="1"/>
  <c r="J201" i="1"/>
  <c r="AB239" i="1"/>
  <c r="AB286" i="1"/>
  <c r="AB299" i="1"/>
  <c r="J303" i="1"/>
  <c r="S223" i="1"/>
  <c r="V301" i="1"/>
  <c r="S151" i="1"/>
  <c r="V156" i="1"/>
  <c r="V289" i="1"/>
  <c r="J230" i="1"/>
  <c r="N50" i="1"/>
  <c r="N49" i="1" s="1"/>
  <c r="O50" i="1"/>
  <c r="O49" i="1" s="1"/>
  <c r="O9" i="1" s="1"/>
  <c r="X50" i="1"/>
  <c r="X49" i="1" s="1"/>
  <c r="Z50" i="1"/>
  <c r="AB50" i="1" s="1"/>
  <c r="R50" i="1"/>
  <c r="R49" i="1" s="1"/>
  <c r="G272" i="1"/>
  <c r="AB167" i="1"/>
  <c r="AB324" i="1"/>
  <c r="G233" i="1"/>
  <c r="M70" i="1"/>
  <c r="D70" i="1" s="1"/>
  <c r="V28" i="1"/>
  <c r="D28" i="1" s="1"/>
  <c r="J246" i="1"/>
  <c r="G164" i="1"/>
  <c r="M167" i="1"/>
  <c r="G208" i="1"/>
  <c r="M246" i="1"/>
  <c r="J322" i="1"/>
  <c r="J167" i="1"/>
  <c r="J211" i="1"/>
  <c r="M230" i="1"/>
  <c r="AB156" i="1"/>
  <c r="AB230" i="1"/>
  <c r="J292" i="1"/>
  <c r="J158" i="1"/>
  <c r="M201" i="1"/>
  <c r="J233" i="1"/>
  <c r="G167" i="1"/>
  <c r="J218" i="1"/>
  <c r="M283" i="1"/>
  <c r="P303" i="1"/>
  <c r="P246" i="1"/>
  <c r="P211" i="1"/>
  <c r="M326" i="1"/>
  <c r="S322" i="1"/>
  <c r="S303" i="1"/>
  <c r="Y185" i="1"/>
  <c r="Y208" i="1"/>
  <c r="Y227" i="1"/>
  <c r="G326" i="1"/>
  <c r="M239" i="1"/>
  <c r="M263" i="1"/>
  <c r="G158" i="1"/>
  <c r="O163" i="1"/>
  <c r="R163" i="1"/>
  <c r="M208" i="1"/>
  <c r="AB227" i="1"/>
  <c r="AB266" i="1"/>
  <c r="J289" i="1"/>
  <c r="P326" i="1"/>
  <c r="P286" i="1"/>
  <c r="P239" i="1"/>
  <c r="Y58" i="1"/>
  <c r="F163" i="1"/>
  <c r="X163" i="1"/>
  <c r="X318" i="1"/>
  <c r="M151" i="1"/>
  <c r="V263" i="1"/>
  <c r="J266" i="1"/>
  <c r="G315" i="1"/>
  <c r="M319" i="1"/>
  <c r="S249" i="1"/>
  <c r="M289" i="1"/>
  <c r="V204" i="1"/>
  <c r="M227" i="1"/>
  <c r="J242" i="1"/>
  <c r="M266" i="1"/>
  <c r="P11" i="1"/>
  <c r="I235" i="1"/>
  <c r="AB142" i="1"/>
  <c r="J286" i="1"/>
  <c r="Y322" i="1"/>
  <c r="AA163" i="1"/>
  <c r="AB246" i="1"/>
  <c r="AB303" i="1"/>
  <c r="M161" i="1"/>
  <c r="AB185" i="1"/>
  <c r="AB208" i="1"/>
  <c r="G239" i="1"/>
  <c r="G263" i="1"/>
  <c r="M286" i="1"/>
  <c r="M299" i="1"/>
  <c r="Y249" i="1"/>
  <c r="Y283" i="1"/>
  <c r="Y296" i="1"/>
  <c r="G16" i="1"/>
  <c r="Y242" i="1"/>
  <c r="Y266" i="1"/>
  <c r="Y326" i="1"/>
  <c r="AB218" i="1"/>
  <c r="AB151" i="1"/>
  <c r="J239" i="1"/>
  <c r="AB289" i="1"/>
  <c r="P233" i="1"/>
  <c r="N210" i="1"/>
  <c r="J249" i="1"/>
  <c r="I295" i="1"/>
  <c r="L200" i="1"/>
  <c r="Y301" i="1"/>
  <c r="D294" i="1"/>
  <c r="AA150" i="1"/>
  <c r="AB292" i="1"/>
  <c r="V223" i="1"/>
  <c r="V236" i="1"/>
  <c r="AB315" i="1"/>
  <c r="S156" i="1"/>
  <c r="J208" i="1"/>
  <c r="C299" i="1"/>
  <c r="J326" i="1"/>
  <c r="C286" i="1"/>
  <c r="AB143" i="1"/>
  <c r="AB161" i="1"/>
  <c r="AB223" i="1"/>
  <c r="AB283" i="1"/>
  <c r="AB322" i="1"/>
  <c r="P32" i="1"/>
  <c r="M303" i="1"/>
  <c r="E11" i="1"/>
  <c r="E10" i="1" s="1"/>
  <c r="G286" i="1"/>
  <c r="V296" i="1"/>
  <c r="G299" i="1"/>
  <c r="V324" i="1"/>
  <c r="P296" i="1"/>
  <c r="P223" i="1"/>
  <c r="P204" i="1"/>
  <c r="P181" i="1"/>
  <c r="P161" i="1"/>
  <c r="N150" i="1"/>
  <c r="W49" i="1"/>
  <c r="W163" i="1"/>
  <c r="C284" i="1"/>
  <c r="G246" i="1"/>
  <c r="G292" i="1"/>
  <c r="G322" i="1"/>
  <c r="J316" i="1"/>
  <c r="M87" i="1"/>
  <c r="D87" i="1" s="1"/>
  <c r="S284" i="1"/>
  <c r="D284" i="1" s="1"/>
  <c r="J74" i="1"/>
  <c r="D74" i="1" s="1"/>
  <c r="S181" i="1"/>
  <c r="S289" i="1"/>
  <c r="S301" i="1"/>
  <c r="V58" i="1"/>
  <c r="B296" i="1"/>
  <c r="H295" i="1"/>
  <c r="S263" i="1"/>
  <c r="S227" i="1"/>
  <c r="S208" i="1"/>
  <c r="Y156" i="1"/>
  <c r="M256" i="1"/>
  <c r="D256" i="1" s="1"/>
  <c r="P201" i="1"/>
  <c r="N265" i="1"/>
  <c r="P266" i="1"/>
  <c r="V266" i="1"/>
  <c r="P242" i="1"/>
  <c r="G128" i="1"/>
  <c r="P127" i="1"/>
  <c r="T249" i="1"/>
  <c r="V249" i="1" s="1"/>
  <c r="V254" i="1"/>
  <c r="D254" i="1" s="1"/>
  <c r="M80" i="1"/>
  <c r="D80" i="1" s="1"/>
  <c r="B56" i="1"/>
  <c r="V56" i="1"/>
  <c r="D56" i="1" s="1"/>
  <c r="P46" i="1"/>
  <c r="N45" i="1"/>
  <c r="P45" i="1" s="1"/>
  <c r="Y42" i="1"/>
  <c r="W41" i="1"/>
  <c r="Y41" i="1" s="1"/>
  <c r="F11" i="1"/>
  <c r="F10" i="1" s="1"/>
  <c r="G12" i="1"/>
  <c r="D12" i="1" s="1"/>
  <c r="B61" i="1"/>
  <c r="J61" i="1"/>
  <c r="D61" i="1" s="1"/>
  <c r="J142" i="1"/>
  <c r="S58" i="1"/>
  <c r="J296" i="1"/>
  <c r="J324" i="1"/>
  <c r="V326" i="1"/>
  <c r="S128" i="1"/>
  <c r="C136" i="1"/>
  <c r="F150" i="1"/>
  <c r="G181" i="1"/>
  <c r="G204" i="1"/>
  <c r="G249" i="1"/>
  <c r="C218" i="1"/>
  <c r="R318" i="1"/>
  <c r="Y218" i="1"/>
  <c r="Y246" i="1"/>
  <c r="Y292" i="1"/>
  <c r="J181" i="1"/>
  <c r="V242" i="1"/>
  <c r="N10" i="1"/>
  <c r="P10" i="1" s="1"/>
  <c r="C74" i="1"/>
  <c r="C255" i="1"/>
  <c r="C266" i="1"/>
  <c r="C316" i="1"/>
  <c r="F127" i="1"/>
  <c r="G127" i="1" s="1"/>
  <c r="G156" i="1"/>
  <c r="C208" i="1"/>
  <c r="G227" i="1"/>
  <c r="C326" i="1"/>
  <c r="S205" i="1"/>
  <c r="D205" i="1" s="1"/>
  <c r="V174" i="1"/>
  <c r="D174" i="1" s="1"/>
  <c r="Y17" i="1"/>
  <c r="I58" i="1"/>
  <c r="I50" i="1" s="1"/>
  <c r="O210" i="1"/>
  <c r="O235" i="1"/>
  <c r="P249" i="1"/>
  <c r="P283" i="1"/>
  <c r="U200" i="1"/>
  <c r="V233" i="1"/>
  <c r="U265" i="1"/>
  <c r="V303" i="1"/>
  <c r="V322" i="1"/>
  <c r="Y181" i="1"/>
  <c r="Y204" i="1"/>
  <c r="J68" i="1"/>
  <c r="D68" i="1" s="1"/>
  <c r="M158" i="1"/>
  <c r="V227" i="1"/>
  <c r="P315" i="1"/>
  <c r="S201" i="1"/>
  <c r="F235" i="1"/>
  <c r="G283" i="1"/>
  <c r="R200" i="1"/>
  <c r="S233" i="1"/>
  <c r="S246" i="1"/>
  <c r="V31" i="1"/>
  <c r="Y201" i="1"/>
  <c r="Y233" i="1"/>
  <c r="Y272" i="1"/>
  <c r="Y303" i="1"/>
  <c r="J204" i="1"/>
  <c r="M233" i="1"/>
  <c r="J263" i="1"/>
  <c r="J283" i="1"/>
  <c r="V299" i="1"/>
  <c r="M324" i="1"/>
  <c r="S242" i="1"/>
  <c r="T17" i="1"/>
  <c r="T16" i="1" s="1"/>
  <c r="B16" i="1" s="1"/>
  <c r="V46" i="1"/>
  <c r="J161" i="1"/>
  <c r="V185" i="1"/>
  <c r="M204" i="1"/>
  <c r="V208" i="1"/>
  <c r="M218" i="1"/>
  <c r="J223" i="1"/>
  <c r="J227" i="1"/>
  <c r="K249" i="1"/>
  <c r="M249" i="1" s="1"/>
  <c r="P289" i="1"/>
  <c r="P230" i="1"/>
  <c r="Q127" i="1"/>
  <c r="S127" i="1" s="1"/>
  <c r="Y167" i="1"/>
  <c r="Y230" i="1"/>
  <c r="C242" i="1"/>
  <c r="G266" i="1"/>
  <c r="G301" i="1"/>
  <c r="J46" i="1"/>
  <c r="D310" i="1"/>
  <c r="M81" i="1"/>
  <c r="D81" i="1" s="1"/>
  <c r="M136" i="1"/>
  <c r="D136" i="1" s="1"/>
  <c r="P128" i="1"/>
  <c r="S218" i="1"/>
  <c r="AB316" i="1"/>
  <c r="L58" i="1"/>
  <c r="L50" i="1" s="1"/>
  <c r="P324" i="1"/>
  <c r="U17" i="1"/>
  <c r="C17" i="1" s="1"/>
  <c r="AA318" i="1"/>
  <c r="AB319" i="1"/>
  <c r="G58" i="1"/>
  <c r="F306" i="1"/>
  <c r="C306" i="1" s="1"/>
  <c r="G307" i="1"/>
  <c r="AB17" i="1"/>
  <c r="S142" i="1"/>
  <c r="AB233" i="1"/>
  <c r="AB272" i="1"/>
  <c r="Q318" i="1"/>
  <c r="Q235" i="1"/>
  <c r="S236" i="1"/>
  <c r="W295" i="1"/>
  <c r="Y299" i="1"/>
  <c r="C246" i="1"/>
  <c r="G17" i="1"/>
  <c r="G151" i="1"/>
  <c r="J299" i="1"/>
  <c r="D271" i="1"/>
  <c r="P191" i="1"/>
  <c r="P208" i="1"/>
  <c r="R16" i="1"/>
  <c r="S16" i="1" s="1"/>
  <c r="S17" i="1"/>
  <c r="U142" i="1"/>
  <c r="V142" i="1" s="1"/>
  <c r="V143" i="1"/>
  <c r="V161" i="1"/>
  <c r="V218" i="1"/>
  <c r="V246" i="1"/>
  <c r="V292" i="1"/>
  <c r="Y16" i="1"/>
  <c r="X150" i="1"/>
  <c r="Y151" i="1"/>
  <c r="X210" i="1"/>
  <c r="Y223" i="1"/>
  <c r="X235" i="1"/>
  <c r="AB45" i="1"/>
  <c r="AB181" i="1"/>
  <c r="C283" i="1"/>
  <c r="AB296" i="1"/>
  <c r="K10" i="1"/>
  <c r="M10" i="1" s="1"/>
  <c r="M11" i="1"/>
  <c r="Z127" i="1"/>
  <c r="AB127" i="1" s="1"/>
  <c r="AB128" i="1"/>
  <c r="AB173" i="1"/>
  <c r="N295" i="1"/>
  <c r="W210" i="1"/>
  <c r="Y211" i="1"/>
  <c r="F41" i="1"/>
  <c r="G42" i="1"/>
  <c r="G211" i="1"/>
  <c r="F210" i="1"/>
  <c r="G230" i="1"/>
  <c r="C289" i="1"/>
  <c r="F318" i="1"/>
  <c r="G236" i="1"/>
  <c r="G242" i="1"/>
  <c r="G289" i="1"/>
  <c r="J143" i="1"/>
  <c r="M32" i="1"/>
  <c r="P307" i="1"/>
  <c r="S143" i="1"/>
  <c r="V316" i="1"/>
  <c r="AB158" i="1"/>
  <c r="I163" i="1"/>
  <c r="J185" i="1"/>
  <c r="P31" i="1"/>
  <c r="P142" i="1"/>
  <c r="P158" i="1"/>
  <c r="O200" i="1"/>
  <c r="P227" i="1"/>
  <c r="P263" i="1"/>
  <c r="P299" i="1"/>
  <c r="S31" i="1"/>
  <c r="G223" i="1"/>
  <c r="C223" i="1"/>
  <c r="F295" i="1"/>
  <c r="G296" i="1"/>
  <c r="C324" i="1"/>
  <c r="G324" i="1"/>
  <c r="D298" i="1"/>
  <c r="P218" i="1"/>
  <c r="S161" i="1"/>
  <c r="R265" i="1"/>
  <c r="S272" i="1"/>
  <c r="X10" i="1"/>
  <c r="Y10" i="1" s="1"/>
  <c r="Y11" i="1"/>
  <c r="Y173" i="1"/>
  <c r="X172" i="1"/>
  <c r="X265" i="1"/>
  <c r="Y289" i="1"/>
  <c r="AA200" i="1"/>
  <c r="AB201" i="1"/>
  <c r="H10" i="1"/>
  <c r="J10" i="1" s="1"/>
  <c r="J11" i="1"/>
  <c r="T127" i="1"/>
  <c r="V127" i="1" s="1"/>
  <c r="V128" i="1"/>
  <c r="K318" i="1"/>
  <c r="M322" i="1"/>
  <c r="S296" i="1"/>
  <c r="Q295" i="1"/>
  <c r="F31" i="1"/>
  <c r="C31" i="1" s="1"/>
  <c r="G32" i="1"/>
  <c r="G185" i="1"/>
  <c r="T10" i="1"/>
  <c r="V11" i="1"/>
  <c r="Z41" i="1"/>
  <c r="AB41" i="1" s="1"/>
  <c r="AB42" i="1"/>
  <c r="T163" i="1"/>
  <c r="T265" i="1"/>
  <c r="M307" i="1"/>
  <c r="K306" i="1"/>
  <c r="K305" i="1" s="1"/>
  <c r="Q265" i="1"/>
  <c r="Q210" i="1"/>
  <c r="Q200" i="1"/>
  <c r="Q163" i="1"/>
  <c r="Q41" i="1"/>
  <c r="S42" i="1"/>
  <c r="W127" i="1"/>
  <c r="Y127" i="1" s="1"/>
  <c r="Y128" i="1"/>
  <c r="W150" i="1"/>
  <c r="Y158" i="1"/>
  <c r="W172" i="1"/>
  <c r="W200" i="1"/>
  <c r="W265" i="1"/>
  <c r="W318" i="1"/>
  <c r="C296" i="1"/>
  <c r="F45" i="1"/>
  <c r="G46" i="1"/>
  <c r="G143" i="1"/>
  <c r="F142" i="1"/>
  <c r="G142" i="1" s="1"/>
  <c r="G161" i="1"/>
  <c r="G201" i="1"/>
  <c r="G218" i="1"/>
  <c r="C303" i="1"/>
  <c r="G303" i="1"/>
  <c r="J32" i="1"/>
  <c r="M46" i="1"/>
  <c r="P167" i="1"/>
  <c r="P316" i="1"/>
  <c r="D317" i="1"/>
  <c r="AB307" i="1"/>
  <c r="I127" i="1"/>
  <c r="J127" i="1" s="1"/>
  <c r="J128" i="1"/>
  <c r="J156" i="1"/>
  <c r="J191" i="1"/>
  <c r="Y324" i="1"/>
  <c r="D308" i="1"/>
  <c r="J31" i="1"/>
  <c r="I210" i="1"/>
  <c r="I265" i="1"/>
  <c r="M16" i="1"/>
  <c r="L150" i="1"/>
  <c r="M191" i="1"/>
  <c r="L210" i="1"/>
  <c r="M301" i="1"/>
  <c r="L318" i="1"/>
  <c r="P41" i="1"/>
  <c r="P58" i="1"/>
  <c r="C143" i="1"/>
  <c r="U41" i="1"/>
  <c r="V41" i="1" s="1"/>
  <c r="V42" i="1"/>
  <c r="U150" i="1"/>
  <c r="V151" i="1"/>
  <c r="V181" i="1"/>
  <c r="V283" i="1"/>
  <c r="U295" i="1"/>
  <c r="X45" i="1"/>
  <c r="Y45" i="1" s="1"/>
  <c r="Y46" i="1"/>
  <c r="AB16" i="1"/>
  <c r="AB58" i="1"/>
  <c r="N318" i="1"/>
  <c r="N235" i="1"/>
  <c r="N200" i="1"/>
  <c r="N163" i="1"/>
  <c r="Q150" i="1"/>
  <c r="W142" i="1"/>
  <c r="Y142" i="1" s="1"/>
  <c r="Y143" i="1"/>
  <c r="W235" i="1"/>
  <c r="Y236" i="1"/>
  <c r="W306" i="1"/>
  <c r="W305" i="1" s="1"/>
  <c r="Y307" i="1"/>
  <c r="G191" i="1"/>
  <c r="G316" i="1"/>
  <c r="P319" i="1"/>
  <c r="D267" i="1"/>
  <c r="D278" i="1"/>
  <c r="J41" i="1"/>
  <c r="I200" i="1"/>
  <c r="M31" i="1"/>
  <c r="M272" i="1"/>
  <c r="M292" i="1"/>
  <c r="S158" i="1"/>
  <c r="R210" i="1"/>
  <c r="S230" i="1"/>
  <c r="S266" i="1"/>
  <c r="S286" i="1"/>
  <c r="S299" i="1"/>
  <c r="R315" i="1"/>
  <c r="S315" i="1" s="1"/>
  <c r="S316" i="1"/>
  <c r="V45" i="1"/>
  <c r="X31" i="1"/>
  <c r="Y31" i="1" s="1"/>
  <c r="Y32" i="1"/>
  <c r="X315" i="1"/>
  <c r="Y315" i="1" s="1"/>
  <c r="Y316" i="1"/>
  <c r="AB31" i="1"/>
  <c r="D309" i="1"/>
  <c r="J45" i="1"/>
  <c r="J315" i="1"/>
  <c r="M41" i="1"/>
  <c r="M142" i="1"/>
  <c r="M223" i="1"/>
  <c r="L295" i="1"/>
  <c r="O150" i="1"/>
  <c r="P301" i="1"/>
  <c r="R150" i="1"/>
  <c r="S283" i="1"/>
  <c r="S292" i="1"/>
  <c r="V286" i="1"/>
  <c r="V315" i="1"/>
  <c r="AB263" i="1"/>
  <c r="J16" i="1"/>
  <c r="I150" i="1"/>
  <c r="J301" i="1"/>
  <c r="I318" i="1"/>
  <c r="M45" i="1"/>
  <c r="L163" i="1"/>
  <c r="M185" i="1"/>
  <c r="M315" i="1"/>
  <c r="P156" i="1"/>
  <c r="P185" i="1"/>
  <c r="P272" i="1"/>
  <c r="P292" i="1"/>
  <c r="O318" i="1"/>
  <c r="S45" i="1"/>
  <c r="R235" i="1"/>
  <c r="R295" i="1"/>
  <c r="S324" i="1"/>
  <c r="V158" i="1"/>
  <c r="U172" i="1"/>
  <c r="U210" i="1"/>
  <c r="V230" i="1"/>
  <c r="U318" i="1"/>
  <c r="X295" i="1"/>
  <c r="AA210" i="1"/>
  <c r="AB242" i="1"/>
  <c r="AB301" i="1"/>
  <c r="S204" i="1"/>
  <c r="AB204" i="1"/>
  <c r="X200" i="1"/>
  <c r="F200" i="1"/>
  <c r="D190" i="1"/>
  <c r="S191" i="1"/>
  <c r="V191" i="1"/>
  <c r="Y191" i="1"/>
  <c r="AB191" i="1"/>
  <c r="C191" i="1"/>
  <c r="D225" i="1"/>
  <c r="D229" i="1"/>
  <c r="D247" i="1"/>
  <c r="D216" i="1"/>
  <c r="D13" i="1"/>
  <c r="R172" i="1"/>
  <c r="D73" i="1"/>
  <c r="D209" i="1"/>
  <c r="F172" i="1"/>
  <c r="D170" i="1"/>
  <c r="D33" i="1"/>
  <c r="D221" i="1"/>
  <c r="I172" i="1"/>
  <c r="O172" i="1"/>
  <c r="Q172" i="1"/>
  <c r="D75" i="1"/>
  <c r="D91" i="1"/>
  <c r="D29" i="1"/>
  <c r="D79" i="1"/>
  <c r="D241" i="1"/>
  <c r="D245" i="1"/>
  <c r="S185" i="1"/>
  <c r="M173" i="1"/>
  <c r="S173" i="1"/>
  <c r="D39" i="1"/>
  <c r="D63" i="1"/>
  <c r="G173" i="1"/>
  <c r="D93" i="1"/>
  <c r="D138" i="1"/>
  <c r="N172" i="1"/>
  <c r="D21" i="1"/>
  <c r="D152" i="1"/>
  <c r="D135" i="1"/>
  <c r="D59" i="1"/>
  <c r="D165" i="1"/>
  <c r="D77" i="1"/>
  <c r="D89" i="1"/>
  <c r="D129" i="1"/>
  <c r="D146" i="1"/>
  <c r="D25" i="1"/>
  <c r="D47" i="1"/>
  <c r="D71" i="1"/>
  <c r="D83" i="1"/>
  <c r="D140" i="1"/>
  <c r="D144" i="1"/>
  <c r="D148" i="1"/>
  <c r="D66" i="1"/>
  <c r="D82" i="1"/>
  <c r="AB306" i="1"/>
  <c r="AB305" i="1"/>
  <c r="AB10" i="1"/>
  <c r="AA172" i="1"/>
  <c r="AA235" i="1"/>
  <c r="C182" i="1"/>
  <c r="C167" i="1"/>
  <c r="AA295" i="1"/>
  <c r="AB11" i="1"/>
  <c r="AB32" i="1"/>
  <c r="AB46" i="1"/>
  <c r="AB182" i="1"/>
  <c r="D182" i="1" s="1"/>
  <c r="AA265" i="1"/>
  <c r="AB211" i="1"/>
  <c r="C161" i="1"/>
  <c r="C233" i="1"/>
  <c r="AB255" i="1"/>
  <c r="D255" i="1" s="1"/>
  <c r="C322" i="1"/>
  <c r="V305" i="1"/>
  <c r="V306" i="1"/>
  <c r="U235" i="1"/>
  <c r="V272" i="1"/>
  <c r="C26" i="1"/>
  <c r="V26" i="1"/>
  <c r="D26" i="1" s="1"/>
  <c r="V167" i="1"/>
  <c r="V201" i="1"/>
  <c r="V239" i="1"/>
  <c r="V307" i="1"/>
  <c r="V319" i="1"/>
  <c r="U163" i="1"/>
  <c r="C254" i="1"/>
  <c r="V211" i="1"/>
  <c r="C181" i="1"/>
  <c r="C211" i="1"/>
  <c r="S10" i="1"/>
  <c r="S306" i="1"/>
  <c r="S305" i="1"/>
  <c r="C46" i="1"/>
  <c r="C158" i="1"/>
  <c r="C185" i="1"/>
  <c r="D43" i="1"/>
  <c r="D67" i="1"/>
  <c r="D157" i="1"/>
  <c r="D213" i="1"/>
  <c r="D217" i="1"/>
  <c r="D240" i="1"/>
  <c r="D253" i="1"/>
  <c r="D257" i="1"/>
  <c r="D261" i="1"/>
  <c r="D282" i="1"/>
  <c r="D290" i="1"/>
  <c r="D323" i="1"/>
  <c r="D327" i="1"/>
  <c r="D168" i="1"/>
  <c r="D300" i="1"/>
  <c r="S167" i="1"/>
  <c r="S239" i="1"/>
  <c r="S307" i="1"/>
  <c r="S319" i="1"/>
  <c r="C32" i="1"/>
  <c r="C204" i="1"/>
  <c r="C239" i="1"/>
  <c r="D51" i="1"/>
  <c r="D55" i="1"/>
  <c r="S11" i="1"/>
  <c r="S211" i="1"/>
  <c r="D183" i="1"/>
  <c r="D194" i="1"/>
  <c r="D237" i="1"/>
  <c r="D251" i="1"/>
  <c r="D259" i="1"/>
  <c r="D302" i="1"/>
  <c r="S32" i="1"/>
  <c r="S46" i="1"/>
  <c r="P306" i="1"/>
  <c r="P305" i="1"/>
  <c r="P16" i="1"/>
  <c r="O295" i="1"/>
  <c r="C263" i="1"/>
  <c r="D65" i="1"/>
  <c r="D155" i="1"/>
  <c r="D159" i="1"/>
  <c r="D215" i="1"/>
  <c r="D219" i="1"/>
  <c r="D320" i="1"/>
  <c r="D325" i="1"/>
  <c r="P42" i="1"/>
  <c r="P143" i="1"/>
  <c r="P151" i="1"/>
  <c r="P173" i="1"/>
  <c r="P236" i="1"/>
  <c r="P322" i="1"/>
  <c r="O265" i="1"/>
  <c r="D15" i="1"/>
  <c r="D34" i="1"/>
  <c r="D40" i="1"/>
  <c r="D57" i="1"/>
  <c r="D180" i="1"/>
  <c r="D184" i="1"/>
  <c r="D195" i="1"/>
  <c r="D202" i="1"/>
  <c r="D207" i="1"/>
  <c r="D291" i="1"/>
  <c r="P17" i="1"/>
  <c r="C230" i="1"/>
  <c r="C128" i="1"/>
  <c r="L127" i="1"/>
  <c r="L235" i="1"/>
  <c r="M181" i="1"/>
  <c r="M211" i="1"/>
  <c r="M296" i="1"/>
  <c r="M316" i="1"/>
  <c r="C70" i="1"/>
  <c r="C156" i="1"/>
  <c r="C164" i="1"/>
  <c r="D273" i="1"/>
  <c r="D279" i="1"/>
  <c r="D287" i="1"/>
  <c r="M42" i="1"/>
  <c r="M143" i="1"/>
  <c r="M156" i="1"/>
  <c r="L172" i="1"/>
  <c r="L265" i="1"/>
  <c r="C201" i="1"/>
  <c r="C256" i="1"/>
  <c r="C301" i="1"/>
  <c r="M17" i="1"/>
  <c r="J305" i="1"/>
  <c r="J306" i="1"/>
  <c r="C272" i="1"/>
  <c r="C292" i="1"/>
  <c r="J42" i="1"/>
  <c r="J151" i="1"/>
  <c r="J173" i="1"/>
  <c r="J236" i="1"/>
  <c r="C68" i="1"/>
  <c r="C249" i="1"/>
  <c r="D19" i="1"/>
  <c r="D23" i="1"/>
  <c r="D27" i="1"/>
  <c r="D37" i="1"/>
  <c r="D192" i="1"/>
  <c r="D196" i="1"/>
  <c r="D231" i="1"/>
  <c r="D269" i="1"/>
  <c r="D276" i="1"/>
  <c r="D280" i="1"/>
  <c r="D288" i="1"/>
  <c r="D304" i="1"/>
  <c r="J17" i="1"/>
  <c r="J272" i="1"/>
  <c r="D53" i="1"/>
  <c r="D69" i="1"/>
  <c r="D85" i="1"/>
  <c r="C227" i="1"/>
  <c r="J307" i="1"/>
  <c r="J319" i="1"/>
  <c r="D20" i="1"/>
  <c r="D24" i="1"/>
  <c r="D38" i="1"/>
  <c r="D54" i="1"/>
  <c r="D62" i="1"/>
  <c r="D78" i="1"/>
  <c r="D86" i="1"/>
  <c r="D90" i="1"/>
  <c r="D94" i="1"/>
  <c r="D139" i="1"/>
  <c r="D147" i="1"/>
  <c r="D160" i="1"/>
  <c r="D169" i="1"/>
  <c r="D186" i="1"/>
  <c r="D193" i="1"/>
  <c r="D199" i="1"/>
  <c r="D203" i="1"/>
  <c r="D212" i="1"/>
  <c r="D220" i="1"/>
  <c r="D224" i="1"/>
  <c r="D228" i="1"/>
  <c r="D232" i="1"/>
  <c r="D250" i="1"/>
  <c r="D258" i="1"/>
  <c r="D262" i="1"/>
  <c r="D277" i="1"/>
  <c r="D281" i="1"/>
  <c r="D285" i="1"/>
  <c r="D293" i="1"/>
  <c r="D297" i="1"/>
  <c r="D14" i="1"/>
  <c r="D18" i="1"/>
  <c r="D22" i="1"/>
  <c r="D30" i="1"/>
  <c r="D44" i="1"/>
  <c r="D48" i="1"/>
  <c r="D52" i="1"/>
  <c r="D60" i="1"/>
  <c r="D64" i="1"/>
  <c r="D72" i="1"/>
  <c r="D76" i="1"/>
  <c r="D84" i="1"/>
  <c r="D88" i="1"/>
  <c r="D92" i="1"/>
  <c r="D137" i="1"/>
  <c r="D141" i="1"/>
  <c r="D145" i="1"/>
  <c r="D154" i="1"/>
  <c r="D162" i="1"/>
  <c r="D171" i="1"/>
  <c r="D214" i="1"/>
  <c r="D222" i="1"/>
  <c r="D226" i="1"/>
  <c r="D234" i="1"/>
  <c r="D243" i="1"/>
  <c r="D248" i="1"/>
  <c r="D252" i="1"/>
  <c r="D260" i="1"/>
  <c r="D264" i="1"/>
  <c r="D268" i="1"/>
  <c r="C42" i="1"/>
  <c r="C151" i="1"/>
  <c r="C173" i="1"/>
  <c r="C236" i="1"/>
  <c r="C307" i="1"/>
  <c r="C319" i="1"/>
  <c r="F265" i="1"/>
  <c r="Z249" i="1"/>
  <c r="Z235" i="1" s="1"/>
  <c r="B283" i="1"/>
  <c r="B284" i="1"/>
  <c r="B292" i="1"/>
  <c r="E150" i="1"/>
  <c r="H163" i="1"/>
  <c r="H265" i="1"/>
  <c r="B315" i="1"/>
  <c r="B26" i="1"/>
  <c r="B42" i="1"/>
  <c r="T49" i="1"/>
  <c r="B263" i="1"/>
  <c r="B289" i="1"/>
  <c r="Z265" i="1"/>
  <c r="K295" i="1"/>
  <c r="B316" i="1"/>
  <c r="B324" i="1"/>
  <c r="B266" i="1"/>
  <c r="B286" i="1"/>
  <c r="T295" i="1"/>
  <c r="B301" i="1"/>
  <c r="B307" i="1"/>
  <c r="B322" i="1"/>
  <c r="Z318" i="1"/>
  <c r="B326" i="1"/>
  <c r="B59" i="1"/>
  <c r="K128" i="1"/>
  <c r="K127" i="1" s="1"/>
  <c r="B161" i="1"/>
  <c r="K172" i="1"/>
  <c r="B182" i="1"/>
  <c r="E172" i="1"/>
  <c r="B272" i="1"/>
  <c r="K265" i="1"/>
  <c r="E295" i="1"/>
  <c r="B299" i="1"/>
  <c r="Z295" i="1"/>
  <c r="B303" i="1"/>
  <c r="T318" i="1"/>
  <c r="B46" i="1"/>
  <c r="K200" i="1"/>
  <c r="B191" i="1"/>
  <c r="B230" i="1"/>
  <c r="B32" i="1"/>
  <c r="B158" i="1"/>
  <c r="B167" i="1"/>
  <c r="H200" i="1"/>
  <c r="T200" i="1"/>
  <c r="B236" i="1"/>
  <c r="B242" i="1"/>
  <c r="E31" i="1"/>
  <c r="B31" i="1" s="1"/>
  <c r="E41" i="1"/>
  <c r="E45" i="1"/>
  <c r="B143" i="1"/>
  <c r="B156" i="1"/>
  <c r="T150" i="1"/>
  <c r="B164" i="1"/>
  <c r="Z172" i="1"/>
  <c r="B185" i="1"/>
  <c r="B201" i="1"/>
  <c r="K210" i="1"/>
  <c r="Z210" i="1"/>
  <c r="B233" i="1"/>
  <c r="H235" i="1"/>
  <c r="B246" i="1"/>
  <c r="B142" i="1"/>
  <c r="B151" i="1"/>
  <c r="K163" i="1"/>
  <c r="Z163" i="1"/>
  <c r="E210" i="1"/>
  <c r="B223" i="1"/>
  <c r="B211" i="1"/>
  <c r="K150" i="1"/>
  <c r="Z150" i="1"/>
  <c r="B181" i="1"/>
  <c r="Z200" i="1"/>
  <c r="B208" i="1"/>
  <c r="B218" i="1"/>
  <c r="T210" i="1"/>
  <c r="B227" i="1"/>
  <c r="B239" i="1"/>
  <c r="E49" i="1"/>
  <c r="H58" i="1"/>
  <c r="H150" i="1"/>
  <c r="H172" i="1"/>
  <c r="T173" i="1"/>
  <c r="B254" i="1"/>
  <c r="E318" i="1"/>
  <c r="B204" i="1"/>
  <c r="K58" i="1"/>
  <c r="H210" i="1"/>
  <c r="H318" i="1"/>
  <c r="E163" i="1"/>
  <c r="E200" i="1"/>
  <c r="E235" i="1"/>
  <c r="E265" i="1"/>
  <c r="M318" i="1" l="1"/>
  <c r="D319" i="1"/>
  <c r="P50" i="1"/>
  <c r="Z49" i="1"/>
  <c r="Z9" i="1" s="1"/>
  <c r="P49" i="1"/>
  <c r="U16" i="1"/>
  <c r="U9" i="1" s="1"/>
  <c r="Y49" i="1"/>
  <c r="H50" i="1"/>
  <c r="K50" i="1"/>
  <c r="K49" i="1" s="1"/>
  <c r="K9" i="1" s="1"/>
  <c r="G163" i="1"/>
  <c r="AB163" i="1"/>
  <c r="P210" i="1"/>
  <c r="V200" i="1"/>
  <c r="B17" i="1"/>
  <c r="Y163" i="1"/>
  <c r="B11" i="1"/>
  <c r="T235" i="1"/>
  <c r="V235" i="1" s="1"/>
  <c r="AB150" i="1"/>
  <c r="M200" i="1"/>
  <c r="G10" i="1"/>
  <c r="P163" i="1"/>
  <c r="Y318" i="1"/>
  <c r="G11" i="1"/>
  <c r="D11" i="1" s="1"/>
  <c r="S163" i="1"/>
  <c r="C11" i="1"/>
  <c r="J295" i="1"/>
  <c r="V17" i="1"/>
  <c r="D17" i="1" s="1"/>
  <c r="J235" i="1"/>
  <c r="V150" i="1"/>
  <c r="V16" i="1"/>
  <c r="D16" i="1" s="1"/>
  <c r="S210" i="1"/>
  <c r="S318" i="1"/>
  <c r="S200" i="1"/>
  <c r="N9" i="1"/>
  <c r="P9" i="1" s="1"/>
  <c r="G306" i="1"/>
  <c r="F305" i="1"/>
  <c r="G305" i="1" s="1"/>
  <c r="P265" i="1"/>
  <c r="Y200" i="1"/>
  <c r="G45" i="1"/>
  <c r="D45" i="1" s="1"/>
  <c r="C315" i="1"/>
  <c r="V295" i="1"/>
  <c r="D326" i="1"/>
  <c r="M306" i="1"/>
  <c r="D306" i="1" s="1"/>
  <c r="D303" i="1"/>
  <c r="D233" i="1"/>
  <c r="Y172" i="1"/>
  <c r="J150" i="1"/>
  <c r="G150" i="1"/>
  <c r="S150" i="1"/>
  <c r="P200" i="1"/>
  <c r="AB200" i="1"/>
  <c r="G172" i="1"/>
  <c r="D239" i="1"/>
  <c r="AA49" i="1"/>
  <c r="Y295" i="1"/>
  <c r="D324" i="1"/>
  <c r="D263" i="1"/>
  <c r="Y50" i="1"/>
  <c r="AB249" i="1"/>
  <c r="D249" i="1" s="1"/>
  <c r="C58" i="1"/>
  <c r="B45" i="1"/>
  <c r="M305" i="1"/>
  <c r="S235" i="1"/>
  <c r="P150" i="1"/>
  <c r="D299" i="1"/>
  <c r="D289" i="1"/>
  <c r="G265" i="1"/>
  <c r="D292" i="1"/>
  <c r="D266" i="1"/>
  <c r="D272" i="1"/>
  <c r="D227" i="1"/>
  <c r="D246" i="1"/>
  <c r="D322" i="1"/>
  <c r="G235" i="1"/>
  <c r="D230" i="1"/>
  <c r="D218" i="1"/>
  <c r="P235" i="1"/>
  <c r="B127" i="1"/>
  <c r="T9" i="1"/>
  <c r="C50" i="1"/>
  <c r="W149" i="1"/>
  <c r="B249" i="1"/>
  <c r="C45" i="1"/>
  <c r="I149" i="1"/>
  <c r="R149" i="1"/>
  <c r="C200" i="1"/>
  <c r="AB210" i="1"/>
  <c r="V49" i="1"/>
  <c r="D315" i="1"/>
  <c r="J318" i="1"/>
  <c r="D283" i="1"/>
  <c r="D142" i="1"/>
  <c r="Q49" i="1"/>
  <c r="S49" i="1" s="1"/>
  <c r="S50" i="1"/>
  <c r="D242" i="1"/>
  <c r="K235" i="1"/>
  <c r="M235" i="1" s="1"/>
  <c r="V210" i="1"/>
  <c r="D301" i="1"/>
  <c r="D191" i="1"/>
  <c r="D208" i="1"/>
  <c r="Q9" i="1"/>
  <c r="B41" i="1"/>
  <c r="J200" i="1"/>
  <c r="R9" i="1"/>
  <c r="AB235" i="1"/>
  <c r="D286" i="1"/>
  <c r="M150" i="1"/>
  <c r="V265" i="1"/>
  <c r="G31" i="1"/>
  <c r="D31" i="1" s="1"/>
  <c r="Y265" i="1"/>
  <c r="D223" i="1"/>
  <c r="J163" i="1"/>
  <c r="G318" i="1"/>
  <c r="Y235" i="1"/>
  <c r="Y150" i="1"/>
  <c r="AB318" i="1"/>
  <c r="D181" i="1"/>
  <c r="D158" i="1"/>
  <c r="D151" i="1"/>
  <c r="D164" i="1"/>
  <c r="D161" i="1"/>
  <c r="C150" i="1"/>
  <c r="C318" i="1"/>
  <c r="D156" i="1"/>
  <c r="AB265" i="1"/>
  <c r="M295" i="1"/>
  <c r="F49" i="1"/>
  <c r="G49" i="1" s="1"/>
  <c r="G50" i="1"/>
  <c r="B10" i="1"/>
  <c r="B128" i="1"/>
  <c r="C210" i="1"/>
  <c r="C41" i="1"/>
  <c r="M265" i="1"/>
  <c r="D296" i="1"/>
  <c r="M128" i="1"/>
  <c r="D128" i="1" s="1"/>
  <c r="P295" i="1"/>
  <c r="D32" i="1"/>
  <c r="V10" i="1"/>
  <c r="V50" i="1"/>
  <c r="AB295" i="1"/>
  <c r="S295" i="1"/>
  <c r="P318" i="1"/>
  <c r="M163" i="1"/>
  <c r="S41" i="1"/>
  <c r="M210" i="1"/>
  <c r="J265" i="1"/>
  <c r="G295" i="1"/>
  <c r="G41" i="1"/>
  <c r="Y210" i="1"/>
  <c r="X9" i="1"/>
  <c r="W9" i="1"/>
  <c r="D316" i="1"/>
  <c r="D46" i="1"/>
  <c r="C142" i="1"/>
  <c r="J58" i="1"/>
  <c r="M58" i="1"/>
  <c r="V163" i="1"/>
  <c r="D201" i="1"/>
  <c r="X149" i="1"/>
  <c r="D185" i="1"/>
  <c r="D204" i="1"/>
  <c r="V318" i="1"/>
  <c r="Y305" i="1"/>
  <c r="Y306" i="1"/>
  <c r="J210" i="1"/>
  <c r="S265" i="1"/>
  <c r="G210" i="1"/>
  <c r="G200" i="1"/>
  <c r="S172" i="1"/>
  <c r="D167" i="1"/>
  <c r="Q149" i="1"/>
  <c r="D211" i="1"/>
  <c r="P172" i="1"/>
  <c r="J172" i="1"/>
  <c r="D143" i="1"/>
  <c r="N149" i="1"/>
  <c r="AB172" i="1"/>
  <c r="M172" i="1"/>
  <c r="C172" i="1"/>
  <c r="D42" i="1"/>
  <c r="T172" i="1"/>
  <c r="V172" i="1" s="1"/>
  <c r="V173" i="1"/>
  <c r="D173" i="1" s="1"/>
  <c r="C295" i="1"/>
  <c r="AA149" i="1"/>
  <c r="C235" i="1"/>
  <c r="C163" i="1"/>
  <c r="U149" i="1"/>
  <c r="D307" i="1"/>
  <c r="O149" i="1"/>
  <c r="O8" i="1" s="1"/>
  <c r="D236" i="1"/>
  <c r="C265" i="1"/>
  <c r="L49" i="1"/>
  <c r="M127" i="1"/>
  <c r="D127" i="1" s="1"/>
  <c r="C127" i="1"/>
  <c r="L149" i="1"/>
  <c r="I49" i="1"/>
  <c r="C10" i="1"/>
  <c r="F149" i="1"/>
  <c r="B265" i="1"/>
  <c r="B318" i="1"/>
  <c r="B295" i="1"/>
  <c r="B210" i="1"/>
  <c r="B150" i="1"/>
  <c r="B200" i="1"/>
  <c r="E9" i="1"/>
  <c r="Z149" i="1"/>
  <c r="B163" i="1"/>
  <c r="E149" i="1"/>
  <c r="B306" i="1"/>
  <c r="B173" i="1"/>
  <c r="H149" i="1"/>
  <c r="B58" i="1"/>
  <c r="E8" i="1" l="1"/>
  <c r="C16" i="1"/>
  <c r="M50" i="1"/>
  <c r="B50" i="1"/>
  <c r="D41" i="1"/>
  <c r="J50" i="1"/>
  <c r="AB49" i="1"/>
  <c r="H49" i="1"/>
  <c r="H9" i="1" s="1"/>
  <c r="B9" i="1" s="1"/>
  <c r="Z8" i="1"/>
  <c r="AA9" i="1"/>
  <c r="AA8" i="1" s="1"/>
  <c r="C305" i="1"/>
  <c r="D10" i="1"/>
  <c r="N8" i="1"/>
  <c r="P8" i="1" s="1"/>
  <c r="D305" i="1"/>
  <c r="V9" i="1"/>
  <c r="D150" i="1"/>
  <c r="R8" i="1"/>
  <c r="D265" i="1"/>
  <c r="X8" i="1"/>
  <c r="S149" i="1"/>
  <c r="D235" i="1"/>
  <c r="S9" i="1"/>
  <c r="D295" i="1"/>
  <c r="B235" i="1"/>
  <c r="D200" i="1"/>
  <c r="D163" i="1"/>
  <c r="K149" i="1"/>
  <c r="K8" i="1" s="1"/>
  <c r="D210" i="1"/>
  <c r="Y149" i="1"/>
  <c r="D58" i="1"/>
  <c r="Y9" i="1"/>
  <c r="D318" i="1"/>
  <c r="F9" i="1"/>
  <c r="W8" i="1"/>
  <c r="D172" i="1"/>
  <c r="Q8" i="1"/>
  <c r="T149" i="1"/>
  <c r="T8" i="1" s="1"/>
  <c r="AB149" i="1"/>
  <c r="B172" i="1"/>
  <c r="G149" i="1"/>
  <c r="P149" i="1"/>
  <c r="J149" i="1"/>
  <c r="C149" i="1"/>
  <c r="U8" i="1"/>
  <c r="M49" i="1"/>
  <c r="L9" i="1"/>
  <c r="I9" i="1"/>
  <c r="C49" i="1"/>
  <c r="B305" i="1"/>
  <c r="G9" i="1" l="1"/>
  <c r="F8" i="1"/>
  <c r="D50" i="1"/>
  <c r="J49" i="1"/>
  <c r="D49" i="1" s="1"/>
  <c r="H8" i="1"/>
  <c r="B8" i="1" s="1"/>
  <c r="B49" i="1"/>
  <c r="AB9" i="1"/>
  <c r="AB8" i="1"/>
  <c r="S8" i="1"/>
  <c r="Y8" i="1"/>
  <c r="G8" i="1"/>
  <c r="M149" i="1"/>
  <c r="V8" i="1"/>
  <c r="V149" i="1"/>
  <c r="B149" i="1"/>
  <c r="L8" i="1"/>
  <c r="M8" i="1" s="1"/>
  <c r="M9" i="1"/>
  <c r="I8" i="1"/>
  <c r="J9" i="1"/>
  <c r="C9" i="1"/>
  <c r="J8" i="1" l="1"/>
  <c r="D8" i="1" s="1"/>
  <c r="D149" i="1"/>
  <c r="D9" i="1"/>
  <c r="C8" i="1"/>
</calcChain>
</file>

<file path=xl/comments1.xml><?xml version="1.0" encoding="utf-8"?>
<comments xmlns="http://schemas.openxmlformats.org/spreadsheetml/2006/main">
  <authors>
    <author>Автор</author>
  </authors>
  <commentList>
    <comment ref="Z33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3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Z37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7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Z18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800000 осигурено финансиране, 460029 недостиг</t>
        </r>
      </text>
    </comment>
    <comment ref="AA18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800000 осигурено финансиране, 460029 недостиг</t>
        </r>
      </text>
    </comment>
    <comment ref="Z183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183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T25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U25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</commentList>
</comments>
</file>

<file path=xl/sharedStrings.xml><?xml version="1.0" encoding="utf-8"?>
<sst xmlns="http://schemas.openxmlformats.org/spreadsheetml/2006/main" count="637" uniqueCount="442">
  <si>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</si>
  <si>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</si>
  <si>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</si>
  <si>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</si>
  <si>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</si>
  <si>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</si>
  <si>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</si>
  <si>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</si>
  <si>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</si>
  <si>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Други извънбюджетни средства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</si>
  <si>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</si>
  <si>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</si>
  <si>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</si>
  <si>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</si>
  <si>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Основен ремонт сграда Дирекция МДТ, Община Велико Търново, в т.ч. архивни помещения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</si>
  <si>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</si>
  <si>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</si>
  <si>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</si>
  <si>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</si>
  <si>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</si>
  <si>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</si>
  <si>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</si>
  <si>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</si>
  <si>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</si>
  <si>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</si>
  <si>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</si>
  <si>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</si>
  <si>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</si>
  <si>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</si>
  <si>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</si>
  <si>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</si>
  <si>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37 - 50 311 лв., частично по ПМС 250 от 04.09.2020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</si>
  <si>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</si>
  <si>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</si>
  <si>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</si>
  <si>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Реконструкция на сграда на ОУ "Бачо Киро" за осигуряване на едносменен режим на обучение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</si>
  <si>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</si>
  <si>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</si>
  <si>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</si>
  <si>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</si>
  <si>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</si>
  <si>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"Слънце" - основен ремонт детска площадка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</si>
  <si>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</si>
  <si>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</si>
  <si>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</si>
  <si>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</si>
  <si>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</si>
  <si>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</si>
  <si>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</si>
  <si>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</si>
  <si>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</si>
  <si>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</si>
  <si>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</si>
  <si>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</si>
  <si>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</si>
  <si>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</si>
  <si>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</si>
  <si>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</si>
  <si>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</si>
  <si>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</si>
  <si>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</si>
  <si>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</si>
  <si>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</si>
  <si>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</si>
  <si>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</si>
  <si>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</si>
  <si>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</si>
  <si>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</si>
  <si>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</si>
  <si>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</si>
  <si>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</si>
  <si>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 xml:space="preserve">Пушево  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</si>
  <si>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</si>
  <si>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</si>
  <si>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</si>
  <si>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</si>
  <si>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</si>
  <si>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</si>
  <si>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 xml:space="preserve">Войнежа 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</si>
  <si>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</si>
  <si>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</si>
  <si>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</si>
  <si>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</si>
  <si>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</si>
  <si>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</si>
  <si>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</si>
  <si>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</si>
  <si>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</si>
  <si>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</si>
  <si>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Функция 07 Почивно дело, култура, религиоз. дейности</t>
  </si>
  <si>
    <t>Сграфито пана - реставрация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</si>
  <si>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</si>
  <si>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</si>
  <si>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</si>
  <si>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</si>
  <si>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</si>
  <si>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</si>
  <si>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</si>
  <si>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</si>
  <si>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</si>
  <si>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</si>
  <si>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</si>
  <si>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</si>
  <si>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</si>
  <si>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</si>
  <si>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</si>
  <si>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</si>
  <si>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</si>
  <si>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</si>
  <si>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</si>
  <si>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</si>
  <si>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</si>
  <si>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</si>
  <si>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</si>
  <si>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</si>
  <si>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</si>
  <si>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Системи за видеонаблюдение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</si>
  <si>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</si>
  <si>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</si>
  <si>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</si>
  <si>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</si>
  <si>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</si>
  <si>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</si>
  <si>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</si>
  <si>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</si>
  <si>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</si>
  <si>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Климатици за нуждите на детските градини в Община Велико Търново</t>
  </si>
  <si>
    <t>5205  Придобиване на стопански инвентар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</si>
  <si>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</si>
  <si>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</si>
  <si>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</si>
  <si>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</si>
  <si>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</si>
  <si>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Компютри за нуждите на детски ясли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</si>
  <si>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</si>
  <si>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</si>
  <si>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ДЯ "Щастливо детство" - документален скенер</t>
  </si>
  <si>
    <t>Лек автомобил за нуждите на Детски ясли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</si>
  <si>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</si>
  <si>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</si>
  <si>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</si>
  <si>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</si>
  <si>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</si>
  <si>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</si>
  <si>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</si>
  <si>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Пожароизвестителна, повиквателна и отоплителна инсталация и система за видеонаблюдение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</si>
  <si>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</si>
  <si>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</si>
  <si>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</si>
  <si>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</si>
  <si>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</si>
  <si>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</si>
  <si>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</si>
  <si>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</si>
  <si>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</si>
  <si>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5219 Придобиване на други ДМА</t>
  </si>
  <si>
    <t>Ограда за четири броя Център за грижа за лица с умствена изостаналост по проект "Изграждане на комплекс от социални услуги за възрастни по ОП „Региони в растеж“ 2014-2020г.", №BG16RFOP001-5.002-0004-C01 /код 98/</t>
  </si>
  <si>
    <t>Компютърна конфигурация за нуждите на ОП "Зелени системи"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</si>
  <si>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</si>
  <si>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</si>
  <si>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</si>
  <si>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</si>
  <si>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</si>
  <si>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</si>
  <si>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>Изграждане на детски площадки в междублокови пространства на ул. "Деню Чоканов" №6 и ул. "Ниш" №6, гр. В. Търново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</si>
  <si>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</si>
  <si>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</si>
  <si>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</si>
  <si>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</si>
  <si>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</si>
  <si>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</si>
  <si>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</si>
  <si>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</si>
  <si>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</si>
  <si>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</si>
  <si>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Изграждане на подпорна стена и канализация за ново спортно игрище</t>
  </si>
  <si>
    <t>Изместване на кабелни линии и трафопост "Ледена пързалка", гр. В. Търново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</si>
  <si>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</si>
  <si>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</si>
  <si>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</si>
  <si>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</si>
  <si>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</si>
  <si>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</si>
  <si>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Принтер 3D за нуждите на РБ "П.Р.Славейков"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</si>
  <si>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</si>
  <si>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</si>
  <si>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</si>
  <si>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</si>
  <si>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</si>
  <si>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</si>
  <si>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</si>
  <si>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</si>
  <si>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</si>
  <si>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</si>
  <si>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</si>
  <si>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</si>
  <si>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 - ОП "Спотни имоти и прояви"</t>
  </si>
  <si>
    <t>Художествено осветление гр. Дебелец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</si>
  <si>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</si>
  <si>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</si>
  <si>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</si>
  <si>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</si>
  <si>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</si>
  <si>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</si>
  <si>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</si>
  <si>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</si>
  <si>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</si>
  <si>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</si>
  <si>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</si>
  <si>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</si>
  <si>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 xml:space="preserve">00-98 Резерв за непредвидени и неотложни разходи </t>
  </si>
  <si>
    <t xml:space="preserve">Неотложни разходи за текущи ремонти на сгради публична общинска собственост - Детски градини </t>
  </si>
  <si>
    <t>Неотложни разходи за текущи ремонти на улична мрежа</t>
  </si>
  <si>
    <t xml:space="preserve">Неотложни разходи за текущ ремонт на Общински плувен басейн </t>
  </si>
  <si>
    <t xml:space="preserve">Неотложни разходи за текущи ремонти на общински пътища  </t>
  </si>
  <si>
    <t>инж. Даниел Панов</t>
  </si>
  <si>
    <t>Кмет на Община Велико Търново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</si>
  <si>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</si>
  <si>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</si>
  <si>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</si>
  <si>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</si>
  <si>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</si>
  <si>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Изготвил,</t>
  </si>
  <si>
    <t>П. Христов</t>
  </si>
  <si>
    <t>Началник отдел ИТО</t>
  </si>
  <si>
    <t>било</t>
  </si>
  <si>
    <t>става</t>
  </si>
  <si>
    <t>промяна</t>
  </si>
  <si>
    <t>Трансфери м/у бюджета и ЦБ и други</t>
  </si>
  <si>
    <t>Видеотермален дисплей ОУ "Димитър Благоев" , гр. В. Търново</t>
  </si>
  <si>
    <t>Подопочистваща машина СУ  "В. Благоева"</t>
  </si>
  <si>
    <t>Игрална маса с полета за шах - ПМГ "В. Друмев", гр. Велико Търново, проект Еразъм + /код 96/</t>
  </si>
  <si>
    <t>Детска площадка КСУД, гр. В. Търново, ул. "Симеон Велики" №3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</si>
  <si>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</si>
  <si>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</si>
  <si>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</si>
  <si>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</si>
  <si>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</si>
  <si>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</si>
  <si>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 xml:space="preserve">Хотница </t>
  </si>
  <si>
    <t xml:space="preserve">Шереметя </t>
  </si>
  <si>
    <t xml:space="preserve">Габровци </t>
  </si>
  <si>
    <t xml:space="preserve">Килифарево </t>
  </si>
  <si>
    <t xml:space="preserve">Самоводене  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</si>
  <si>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</si>
  <si>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</si>
  <si>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</si>
  <si>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</si>
  <si>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</si>
  <si>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 xml:space="preserve">Основен ремонт покрив ОУ "П.Р.Славейков", гр. В. Търново </t>
  </si>
  <si>
    <t>Беляковец /в т.ч. 4 780 лева преходен остатък, 17 221 лева от 30% продажба на общинско имущество/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</si>
  <si>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</si>
  <si>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Камион до 3,5 тона товароносимост за нуждите на ОП "Зелени системи"</t>
  </si>
  <si>
    <t>Компютри и хардуер по проект "Изкуство и култура" - Галерия ROBG-576 /код 96/</t>
  </si>
  <si>
    <t>Видеосистеми за видеонаблюдение</t>
  </si>
  <si>
    <t>Система за видеонаблюдение за Паметника на Опълченците Кметство с. Ресен</t>
  </si>
  <si>
    <t>Компютри и хардуер за нуждите на Великотърновски общински съвет</t>
  </si>
  <si>
    <t>ОУ "Бачо Киро" - преносими компютри и многофункционално устройство</t>
  </si>
  <si>
    <t>ОУ "Христо Ботев" - преносими компютри</t>
  </si>
  <si>
    <t>ПМГ "Васил Друмев"  гр. В. Търново -  лаптопи, компютърни конфигурации, интерактивни дисплеи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</si>
  <si>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</si>
  <si>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</si>
  <si>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СУ "Ем. Станев"- преносими компютри и мултимедиен прожектор</t>
  </si>
  <si>
    <t>СУ "Ем. Станев"- пулт за озвучаване и тонколони</t>
  </si>
  <si>
    <t>ПМГ "В. Друмев" - система за видеонаблюдение</t>
  </si>
  <si>
    <t>СУ "Ем. Станев"- климатични системи</t>
  </si>
  <si>
    <t>ПМГ "В. Друмев" - мебели по НП "Играждане на STEM среда"</t>
  </si>
  <si>
    <t>ПМГ "В. Друмев" - Образователен софтуер за интерактивен дисплей по НП "Играждане на STEM среда"</t>
  </si>
  <si>
    <t>ПМГ "В. Друмев" - Образователен и експериментален софтуер за стереоскопичен лаптоп по НП "Играждане на STEM среда"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</si>
  <si>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</si>
  <si>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ПМГ "Васил Друмев"  гр. В. Търново -  изграждане на Център за природни науки, изследвания и иновации</t>
  </si>
  <si>
    <t>Тракторна косачка за нуждите на РИМ В. Търново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</si>
  <si>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</si>
  <si>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</si>
  <si>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</si>
  <si>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</si>
  <si>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</si>
  <si>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</si>
  <si>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</si>
  <si>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</si>
  <si>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Общински такси</t>
  </si>
  <si>
    <t>2400</t>
  </si>
  <si>
    <t xml:space="preserve"> - Община Велико Търново</t>
  </si>
  <si>
    <t>приходи от наеми на земя</t>
  </si>
  <si>
    <t>2406</t>
  </si>
  <si>
    <t>Други неданъчни приходи</t>
  </si>
  <si>
    <t>получени застрахователни обезщетения за ДМА</t>
  </si>
  <si>
    <t>Събр.и внес.ДДС и др.дан.в/у продажби/нето/</t>
  </si>
  <si>
    <t>внесен данък върху приходите от стопанска дейност на бюджетните предприятия (-)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</si>
  <si>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</si>
  <si>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</si>
  <si>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</si>
  <si>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</si>
  <si>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</si>
  <si>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трансфери между бюджети - получени трансфери (+)</t>
  </si>
  <si>
    <t xml:space="preserve"> - вътр. трансф.в системата на първост.р-л </t>
  </si>
  <si>
    <t xml:space="preserve"> - Център за социални услуги</t>
  </si>
  <si>
    <t xml:space="preserve"> - Кметство Килифарево</t>
  </si>
  <si>
    <t xml:space="preserve"> - Кметство Ресен</t>
  </si>
  <si>
    <t xml:space="preserve"> - Кметство Самоводене</t>
  </si>
  <si>
    <t>ВСИЧКО ТРАНСФЕРИ:</t>
  </si>
  <si>
    <t>ВСИЧКО ПРИХОДИ ЗА ДЕЛЕГ.ОТ ДЪРЖ.Д-СТИ:</t>
  </si>
  <si>
    <t>МЕСТНИ ПРИХОДИ</t>
  </si>
  <si>
    <t xml:space="preserve"> - приходи от лихви по текущи банкови сметки</t>
  </si>
  <si>
    <t>Глоби, санкции и наказателни лихви</t>
  </si>
  <si>
    <t xml:space="preserve"> - глоби, санкции, неустойки, наказателни лихви, обезщетения и начети</t>
  </si>
  <si>
    <t xml:space="preserve"> - реализирани курсови разлики от валутни операции (нето) (+/-)</t>
  </si>
  <si>
    <t xml:space="preserve"> - други неданъчни приходи</t>
  </si>
  <si>
    <t>3700</t>
  </si>
  <si>
    <t xml:space="preserve"> -Община Велико Търново</t>
  </si>
  <si>
    <t xml:space="preserve"> - внесен данък върху приходите от стопанска дейност на бюджетните предприятия (-)</t>
  </si>
  <si>
    <t>Трансфери</t>
  </si>
  <si>
    <t xml:space="preserve"> - трансфери между бюджети - предоставени трансфери (-)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</si>
  <si>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</si>
  <si>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</si>
  <si>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</si>
  <si>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</si>
  <si>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1 Общи държавни служби</t>
  </si>
  <si>
    <t>Група 1 Изпълнителни и законодателни органи</t>
  </si>
  <si>
    <t xml:space="preserve"> - в т. ч.:</t>
  </si>
  <si>
    <t>Функция 2 Отбрана и сигурност</t>
  </si>
  <si>
    <t>Група 2 Полиция, вътрешен ред и сигурност</t>
  </si>
  <si>
    <t>Функция 3 Образование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</si>
  <si>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</si>
  <si>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</si>
  <si>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</si>
  <si>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</si>
  <si>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</si>
  <si>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</si>
  <si>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</si>
  <si>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</si>
  <si>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Функция 4 Здравеопазване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</si>
  <si>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</si>
  <si>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</si>
  <si>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</si>
  <si>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</si>
  <si>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</si>
  <si>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</si>
  <si>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</si>
  <si>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>Група 2 Опазване на околната среда</t>
  </si>
  <si>
    <t>Група 2 Физическа култура и спорт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</si>
  <si>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</si>
  <si>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</si>
  <si>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</si>
  <si>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М. Маринов</t>
  </si>
  <si>
    <t>Директор дирекция БФ</t>
  </si>
  <si>
    <t>Д. Данчева</t>
  </si>
  <si>
    <t>Гл. счетоводител</t>
  </si>
  <si>
    <t>Д. Гавраилова,</t>
  </si>
  <si>
    <t>експерт Дирекция БФ</t>
  </si>
  <si>
    <t>І тр.</t>
  </si>
  <si>
    <t>Текущ ремонт СУ „Емилиян Станев“, гр. Велико Търново</t>
  </si>
  <si>
    <t>2408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</si>
  <si>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</si>
  <si>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</si>
  <si>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</si>
  <si>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2021 ГОДИНА</t>
  </si>
  <si>
    <t xml:space="preserve">№ по ред </t>
  </si>
  <si>
    <t xml:space="preserve">П О К А З А Т Е Л И </t>
  </si>
  <si>
    <t>считано от 01.01.2021 г.</t>
  </si>
  <si>
    <t>считано от 01.05.2021 г.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</si>
  <si>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</si>
  <si>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</si>
  <si>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</si>
  <si>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</si>
  <si>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</si>
  <si>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</si>
  <si>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</si>
  <si>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</si>
  <si>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</si>
  <si>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</si>
  <si>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</si>
  <si>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</si>
  <si>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</si>
  <si>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</si>
  <si>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</si>
  <si>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Наркотични вещества</t>
  </si>
  <si>
    <t>ІV.</t>
  </si>
  <si>
    <t>Функция  "Социално осигуряване, подпомагане и грижи"</t>
  </si>
  <si>
    <t xml:space="preserve">Домове за деца </t>
  </si>
  <si>
    <t>V.</t>
  </si>
  <si>
    <t>Функция " Почивно дело, култура, религиозни дейности"</t>
  </si>
  <si>
    <t>МЕСТНИ ДЕЙНОСТИ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</si>
  <si>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</si>
  <si>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</si>
  <si>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</si>
  <si>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</si>
  <si>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</si>
  <si>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</si>
  <si>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</si>
  <si>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</si>
  <si>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</si>
  <si>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</si>
  <si>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</si>
  <si>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</si>
  <si>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Духов оркестър</t>
  </si>
  <si>
    <t>ОП "Общинско кабелно радио"</t>
  </si>
  <si>
    <t>ДКС "Васил Левски"</t>
  </si>
  <si>
    <t>1.4.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</si>
  <si>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</si>
  <si>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</si>
  <si>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</si>
  <si>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</si>
  <si>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</si>
  <si>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</si>
  <si>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2.1.</t>
  </si>
  <si>
    <t>Приют за кучета</t>
  </si>
  <si>
    <t>2.2.</t>
  </si>
  <si>
    <t xml:space="preserve">Административно - техническо обслужване </t>
  </si>
  <si>
    <t>2.3.</t>
  </si>
  <si>
    <t>ОП " Реклама "</t>
  </si>
  <si>
    <t>2.4.</t>
  </si>
  <si>
    <t>Младежки дом</t>
  </si>
  <si>
    <t>ДЪРЖАВНИ ДЕЙНОСТИ, ДОФИНАНСИРАНИ С МЕСТНИ ПРИХОДИ</t>
  </si>
  <si>
    <t>ІІІ.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</si>
  <si>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</si>
  <si>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</si>
  <si>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</si>
  <si>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К. Денева</t>
  </si>
  <si>
    <t>Ст.експерт дирекция "Бюджет и финанси"</t>
  </si>
  <si>
    <t xml:space="preserve"> -Дирекция ОМДС, вкл. образователни институции</t>
  </si>
  <si>
    <t xml:space="preserve"> -Дирекция  КТМД, вкл. регионални структури в сферата на културата</t>
  </si>
  <si>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</si>
  <si>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</si>
  <si>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</si>
  <si>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</si>
  <si>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>Великотърновски общински съвет реши:</t>
  </si>
  <si>
    <t>на Община Велико Търново, както следва:</t>
  </si>
  <si>
    <t>ДО</t>
  </si>
  <si>
    <t>съгласно Приложение 1 към настоящото Предложение.</t>
  </si>
  <si>
    <t>Сн. Данева - Иванова</t>
  </si>
  <si>
    <t>Зам. - кмет "Финанси"</t>
  </si>
  <si>
    <t>Д. Йонкова</t>
  </si>
  <si>
    <t>Директор дирекция ПОУС</t>
  </si>
  <si>
    <t xml:space="preserve">делегираните от държавата дейности, местните дейности и дофинансираните дейности за 2021 година"  от  </t>
  </si>
  <si>
    <t>Решение №481/25.02.2021 год. на ВТОБС, съгласно Приложение 2 към настоящото Предложение.</t>
  </si>
  <si>
    <t>/Двеста и четиридесет/ лева.</t>
  </si>
  <si>
    <t xml:space="preserve">Кмет на Община Велико Търново за отчетния период 01.01 - 31.03.2021 година, в размер на 240.00 лв. </t>
  </si>
  <si>
    <t xml:space="preserve">Председател на Великотърновски общински съвет за отчетния период 01.01 – 31.03.2021 година, </t>
  </si>
  <si>
    <t>в размер на 20.00 лв. /Двадесет/ лева.</t>
  </si>
  <si>
    <t>ПРИЛОЖЕНИЕ 1</t>
  </si>
  <si>
    <t>КЪМ 31.03.2021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</si>
</sst>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i/>
      <sz val="12"/>
      <name val="Times New Roman"/>
      <family val="1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86">
    <xf numFmtId="0" fontId="0" fillId="0" borderId="0" xfId="0"/>
    <xf numFmtId="0" fontId="3" fillId="0" borderId="0" xfId="1" applyFont="1" applyFill="1" applyAlignment="1">
      <alignment wrapText="1"/>
    </xf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right"/>
    </xf>
    <xf numFmtId="0" fontId="6" fillId="0" borderId="0" xfId="1" applyFont="1" applyFill="1"/>
    <xf numFmtId="0" fontId="6" fillId="0" borderId="0" xfId="1" applyFont="1" applyFill="1" applyAlignment="1">
      <alignment horizontal="centerContinuous"/>
    </xf>
    <xf numFmtId="0" fontId="6" fillId="0" borderId="0" xfId="1" applyNumberFormat="1" applyFont="1" applyFill="1" applyAlignment="1">
      <alignment horizontal="centerContinuous"/>
    </xf>
    <xf numFmtId="0" fontId="6" fillId="0" borderId="1" xfId="2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wrapText="1"/>
    </xf>
    <xf numFmtId="3" fontId="6" fillId="0" borderId="1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wrapText="1"/>
    </xf>
    <xf numFmtId="3" fontId="6" fillId="0" borderId="2" xfId="3" applyNumberFormat="1" applyFont="1" applyFill="1" applyBorder="1" applyAlignment="1">
      <alignment horizontal="center" wrapText="1"/>
    </xf>
    <xf numFmtId="3" fontId="6" fillId="0" borderId="2" xfId="3" applyNumberFormat="1" applyFont="1" applyFill="1" applyBorder="1"/>
    <xf numFmtId="0" fontId="6" fillId="0" borderId="0" xfId="1" applyFont="1" applyFill="1" applyBorder="1"/>
    <xf numFmtId="0" fontId="6" fillId="0" borderId="1" xfId="3" applyFont="1" applyFill="1" applyBorder="1" applyAlignment="1">
      <alignment wrapText="1"/>
    </xf>
    <xf numFmtId="3" fontId="6" fillId="0" borderId="1" xfId="3" applyNumberFormat="1" applyFont="1" applyFill="1" applyBorder="1"/>
    <xf numFmtId="0" fontId="3" fillId="0" borderId="0" xfId="1" applyFont="1" applyFill="1" applyBorder="1"/>
    <xf numFmtId="3" fontId="6" fillId="0" borderId="1" xfId="3" applyNumberFormat="1" applyFont="1" applyFill="1" applyBorder="1" applyAlignment="1"/>
    <xf numFmtId="0" fontId="3" fillId="0" borderId="1" xfId="1" applyFont="1" applyFill="1" applyBorder="1" applyAlignment="1">
      <alignment wrapText="1"/>
    </xf>
    <xf numFmtId="3" fontId="3" fillId="0" borderId="1" xfId="3" applyNumberFormat="1" applyFont="1" applyFill="1" applyBorder="1" applyAlignment="1"/>
    <xf numFmtId="0" fontId="6" fillId="0" borderId="1" xfId="1" applyFont="1" applyFill="1" applyBorder="1" applyAlignment="1">
      <alignment wrapText="1"/>
    </xf>
    <xf numFmtId="0" fontId="3" fillId="0" borderId="1" xfId="3" applyFont="1" applyFill="1" applyBorder="1" applyAlignment="1">
      <alignment wrapText="1"/>
    </xf>
    <xf numFmtId="3" fontId="3" fillId="0" borderId="1" xfId="3" applyNumberFormat="1" applyFont="1" applyFill="1" applyBorder="1"/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wrapText="1"/>
    </xf>
    <xf numFmtId="3" fontId="3" fillId="0" borderId="1" xfId="3" applyNumberFormat="1" applyFont="1" applyFill="1" applyBorder="1" applyAlignment="1">
      <alignment horizontal="right"/>
    </xf>
    <xf numFmtId="0" fontId="3" fillId="0" borderId="1" xfId="4" applyFont="1" applyFill="1" applyBorder="1" applyAlignment="1">
      <alignment vertical="center" wrapText="1"/>
    </xf>
    <xf numFmtId="0" fontId="3" fillId="0" borderId="3" xfId="4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left" wrapText="1"/>
    </xf>
    <xf numFmtId="0" fontId="3" fillId="0" borderId="1" xfId="3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0" fontId="6" fillId="0" borderId="1" xfId="2" applyFont="1" applyFill="1" applyBorder="1" applyAlignment="1">
      <alignment wrapText="1"/>
    </xf>
    <xf numFmtId="0" fontId="6" fillId="0" borderId="0" xfId="0" applyFont="1" applyFill="1"/>
    <xf numFmtId="0" fontId="3" fillId="0" borderId="0" xfId="5" applyFont="1" applyFill="1" applyAlignment="1"/>
    <xf numFmtId="0" fontId="8" fillId="0" borderId="0" xfId="0" applyFont="1" applyFill="1"/>
    <xf numFmtId="0" fontId="3" fillId="0" borderId="0" xfId="4" applyFont="1" applyFill="1" applyBorder="1" applyAlignment="1">
      <alignment vertical="center" wrapText="1"/>
    </xf>
    <xf numFmtId="0" fontId="3" fillId="0" borderId="0" xfId="6" applyFont="1" applyFill="1" applyAlignment="1"/>
    <xf numFmtId="0" fontId="6" fillId="0" borderId="0" xfId="6" applyFont="1" applyFill="1" applyAlignment="1"/>
    <xf numFmtId="0" fontId="8" fillId="0" borderId="0" xfId="6" applyFont="1" applyFill="1" applyAlignment="1"/>
    <xf numFmtId="0" fontId="6" fillId="0" borderId="0" xfId="6" applyFont="1" applyFill="1" applyBorder="1" applyAlignment="1"/>
    <xf numFmtId="0" fontId="8" fillId="0" borderId="0" xfId="1" applyFont="1" applyFill="1" applyAlignment="1"/>
    <xf numFmtId="0" fontId="3" fillId="0" borderId="0" xfId="1" applyFont="1" applyFill="1" applyAlignment="1"/>
    <xf numFmtId="0" fontId="6" fillId="0" borderId="2" xfId="2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wrapText="1"/>
    </xf>
    <xf numFmtId="0" fontId="3" fillId="0" borderId="0" xfId="0" applyFont="1" applyFill="1"/>
    <xf numFmtId="0" fontId="6" fillId="0" borderId="0" xfId="0" applyFont="1" applyFill="1" applyAlignment="1">
      <alignment horizontal="centerContinuous"/>
    </xf>
    <xf numFmtId="0" fontId="11" fillId="0" borderId="0" xfId="0" applyFont="1" applyFill="1"/>
    <xf numFmtId="0" fontId="12" fillId="0" borderId="0" xfId="0" applyFont="1" applyFill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0" xfId="0" applyNumberFormat="1" applyFont="1" applyFill="1"/>
    <xf numFmtId="0" fontId="3" fillId="0" borderId="0" xfId="0" applyFont="1" applyFill="1" applyBorder="1"/>
    <xf numFmtId="49" fontId="6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12" fillId="0" borderId="0" xfId="0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3" fontId="6" fillId="0" borderId="4" xfId="0" applyNumberFormat="1" applyFont="1" applyFill="1" applyBorder="1"/>
    <xf numFmtId="0" fontId="6" fillId="0" borderId="0" xfId="0" quotePrefix="1" applyFont="1" applyFill="1" applyBorder="1"/>
    <xf numFmtId="3" fontId="6" fillId="0" borderId="4" xfId="0" applyNumberFormat="1" applyFont="1" applyFill="1" applyBorder="1" applyAlignment="1"/>
    <xf numFmtId="3" fontId="3" fillId="0" borderId="0" xfId="0" applyNumberFormat="1" applyFont="1" applyFill="1" applyBorder="1" applyAlignment="1"/>
    <xf numFmtId="0" fontId="6" fillId="0" borderId="5" xfId="0" applyFont="1" applyFill="1" applyBorder="1"/>
    <xf numFmtId="49" fontId="6" fillId="0" borderId="5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/>
    <xf numFmtId="0" fontId="6" fillId="0" borderId="3" xfId="0" applyFont="1" applyFill="1" applyBorder="1"/>
    <xf numFmtId="49" fontId="6" fillId="0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/>
    <xf numFmtId="0" fontId="6" fillId="0" borderId="6" xfId="0" applyFont="1" applyFill="1" applyBorder="1"/>
    <xf numFmtId="49" fontId="6" fillId="0" borderId="6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/>
    <xf numFmtId="0" fontId="6" fillId="0" borderId="0" xfId="2" applyFont="1" applyFill="1" applyBorder="1"/>
    <xf numFmtId="0" fontId="3" fillId="0" borderId="0" xfId="2" applyFont="1" applyFill="1" applyBorder="1"/>
    <xf numFmtId="0" fontId="3" fillId="0" borderId="4" xfId="0" applyFont="1" applyFill="1" applyBorder="1" applyAlignment="1">
      <alignment horizontal="center"/>
    </xf>
    <xf numFmtId="3" fontId="3" fillId="0" borderId="4" xfId="0" applyNumberFormat="1" applyFont="1" applyFill="1" applyBorder="1" applyAlignment="1"/>
    <xf numFmtId="0" fontId="6" fillId="0" borderId="6" xfId="0" applyFont="1" applyFill="1" applyBorder="1" applyAlignment="1">
      <alignment horizontal="center"/>
    </xf>
    <xf numFmtId="3" fontId="6" fillId="0" borderId="6" xfId="0" applyNumberFormat="1" applyFont="1" applyFill="1" applyBorder="1"/>
    <xf numFmtId="0" fontId="6" fillId="0" borderId="3" xfId="0" applyFont="1" applyFill="1" applyBorder="1" applyAlignment="1">
      <alignment horizontal="center"/>
    </xf>
    <xf numFmtId="3" fontId="6" fillId="0" borderId="3" xfId="0" applyNumberFormat="1" applyFont="1" applyFill="1" applyBorder="1"/>
    <xf numFmtId="0" fontId="12" fillId="0" borderId="6" xfId="0" applyFont="1" applyFill="1" applyBorder="1"/>
    <xf numFmtId="0" fontId="6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3" fontId="3" fillId="0" borderId="5" xfId="0" applyNumberFormat="1" applyFont="1" applyFill="1" applyBorder="1" applyAlignment="1"/>
    <xf numFmtId="3" fontId="3" fillId="0" borderId="4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0" fontId="12" fillId="0" borderId="0" xfId="5" applyFont="1" applyFill="1"/>
    <xf numFmtId="0" fontId="3" fillId="0" borderId="0" xfId="5" applyFont="1" applyFill="1"/>
    <xf numFmtId="0" fontId="6" fillId="0" borderId="0" xfId="5" applyFont="1" applyFill="1"/>
    <xf numFmtId="164" fontId="6" fillId="0" borderId="0" xfId="5" applyNumberFormat="1" applyFont="1" applyFill="1"/>
    <xf numFmtId="164" fontId="3" fillId="0" borderId="0" xfId="5" applyNumberFormat="1" applyFont="1" applyFill="1"/>
    <xf numFmtId="0" fontId="6" fillId="0" borderId="6" xfId="5" applyFont="1" applyFill="1" applyBorder="1"/>
    <xf numFmtId="0" fontId="3" fillId="0" borderId="6" xfId="0" applyFont="1" applyFill="1" applyBorder="1"/>
    <xf numFmtId="164" fontId="6" fillId="0" borderId="6" xfId="5" applyNumberFormat="1" applyFont="1" applyFill="1" applyBorder="1"/>
    <xf numFmtId="0" fontId="6" fillId="0" borderId="0" xfId="5" applyFont="1" applyFill="1" applyBorder="1"/>
    <xf numFmtId="164" fontId="6" fillId="0" borderId="0" xfId="5" applyNumberFormat="1" applyFont="1" applyFill="1" applyBorder="1"/>
    <xf numFmtId="0" fontId="12" fillId="0" borderId="3" xfId="5" applyFont="1" applyFill="1" applyBorder="1"/>
    <xf numFmtId="0" fontId="3" fillId="0" borderId="3" xfId="0" applyFont="1" applyFill="1" applyBorder="1"/>
    <xf numFmtId="0" fontId="6" fillId="0" borderId="3" xfId="5" applyFont="1" applyFill="1" applyBorder="1"/>
    <xf numFmtId="0" fontId="12" fillId="0" borderId="7" xfId="5" applyFont="1" applyFill="1" applyBorder="1"/>
    <xf numFmtId="0" fontId="3" fillId="0" borderId="7" xfId="0" applyFont="1" applyFill="1" applyBorder="1"/>
    <xf numFmtId="0" fontId="6" fillId="0" borderId="7" xfId="5" applyFont="1" applyFill="1" applyBorder="1"/>
    <xf numFmtId="164" fontId="6" fillId="0" borderId="7" xfId="5" applyNumberFormat="1" applyFont="1" applyFill="1" applyBorder="1"/>
    <xf numFmtId="0" fontId="3" fillId="0" borderId="8" xfId="0" applyFont="1" applyFill="1" applyBorder="1"/>
    <xf numFmtId="0" fontId="3" fillId="0" borderId="0" xfId="0" applyFont="1" applyFill="1" applyAlignment="1">
      <alignment wrapText="1"/>
    </xf>
    <xf numFmtId="0" fontId="13" fillId="0" borderId="0" xfId="0" applyFont="1" applyFill="1"/>
    <xf numFmtId="0" fontId="14" fillId="0" borderId="0" xfId="0" applyFont="1" applyFill="1"/>
    <xf numFmtId="0" fontId="3" fillId="0" borderId="0" xfId="5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5" fillId="0" borderId="1" xfId="7" applyFont="1" applyFill="1" applyBorder="1" applyAlignment="1">
      <alignment horizontal="center" wrapText="1"/>
    </xf>
    <xf numFmtId="0" fontId="15" fillId="0" borderId="1" xfId="7" applyFont="1" applyFill="1" applyBorder="1" applyAlignment="1">
      <alignment horizontal="center"/>
    </xf>
    <xf numFmtId="0" fontId="15" fillId="0" borderId="1" xfId="7" applyFont="1" applyFill="1" applyBorder="1"/>
    <xf numFmtId="3" fontId="15" fillId="0" borderId="1" xfId="7" applyNumberFormat="1" applyFont="1" applyFill="1" applyBorder="1" applyAlignment="1">
      <alignment horizontal="center" wrapText="1"/>
    </xf>
    <xf numFmtId="0" fontId="16" fillId="0" borderId="1" xfId="7" applyFont="1" applyFill="1" applyBorder="1" applyAlignment="1">
      <alignment horizontal="center"/>
    </xf>
    <xf numFmtId="0" fontId="16" fillId="0" borderId="1" xfId="7" applyFont="1" applyFill="1" applyBorder="1"/>
    <xf numFmtId="3" fontId="16" fillId="0" borderId="1" xfId="7" applyNumberFormat="1" applyFont="1" applyFill="1" applyBorder="1"/>
    <xf numFmtId="3" fontId="15" fillId="0" borderId="1" xfId="7" applyNumberFormat="1" applyFont="1" applyFill="1" applyBorder="1"/>
    <xf numFmtId="0" fontId="17" fillId="0" borderId="1" xfId="7" applyFont="1" applyFill="1" applyBorder="1" applyAlignment="1">
      <alignment horizontal="center"/>
    </xf>
    <xf numFmtId="0" fontId="17" fillId="0" borderId="1" xfId="7" applyFont="1" applyFill="1" applyBorder="1"/>
    <xf numFmtId="0" fontId="16" fillId="0" borderId="0" xfId="7" applyFont="1" applyFill="1" applyAlignment="1">
      <alignment horizontal="center"/>
    </xf>
    <xf numFmtId="0" fontId="16" fillId="0" borderId="0" xfId="7" applyFont="1" applyFill="1"/>
    <xf numFmtId="3" fontId="16" fillId="0" borderId="0" xfId="7" applyNumberFormat="1" applyFont="1" applyFill="1"/>
    <xf numFmtId="0" fontId="16" fillId="0" borderId="0" xfId="8" applyFont="1" applyFill="1"/>
    <xf numFmtId="0" fontId="18" fillId="0" borderId="0" xfId="8" applyFont="1" applyFill="1" applyAlignment="1">
      <alignment horizontal="left"/>
    </xf>
    <xf numFmtId="0" fontId="18" fillId="0" borderId="0" xfId="8" applyFont="1" applyFill="1"/>
    <xf numFmtId="0" fontId="16" fillId="0" borderId="0" xfId="5" applyFont="1" applyFill="1" applyBorder="1" applyAlignment="1"/>
    <xf numFmtId="0" fontId="16" fillId="0" borderId="0" xfId="5" applyFont="1" applyFill="1" applyAlignment="1"/>
    <xf numFmtId="3" fontId="16" fillId="0" borderId="0" xfId="5" applyNumberFormat="1" applyFont="1" applyFill="1" applyBorder="1" applyAlignment="1"/>
    <xf numFmtId="0" fontId="16" fillId="0" borderId="0" xfId="8" applyFont="1" applyFill="1" applyAlignment="1">
      <alignment horizontal="left"/>
    </xf>
    <xf numFmtId="0" fontId="16" fillId="0" borderId="0" xfId="5" applyFont="1" applyFill="1" applyBorder="1" applyAlignment="1">
      <alignment vertical="center" wrapText="1"/>
    </xf>
    <xf numFmtId="0" fontId="18" fillId="0" borderId="0" xfId="5" applyFont="1" applyFill="1" applyAlignment="1"/>
    <xf numFmtId="0" fontId="18" fillId="0" borderId="0" xfId="5" applyFont="1" applyFill="1" applyBorder="1" applyAlignment="1">
      <alignment vertical="center" wrapText="1"/>
    </xf>
    <xf numFmtId="0" fontId="18" fillId="0" borderId="0" xfId="8" applyFont="1" applyFill="1" applyBorder="1" applyAlignment="1">
      <alignment vertical="center" wrapText="1"/>
    </xf>
    <xf numFmtId="0" fontId="18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6" fillId="0" borderId="0" xfId="8" applyFont="1" applyFill="1" applyAlignment="1"/>
    <xf numFmtId="0" fontId="3" fillId="0" borderId="0" xfId="0" applyFont="1" applyFill="1" applyAlignment="1">
      <alignment horizontal="centerContinuous"/>
    </xf>
    <xf numFmtId="3" fontId="3" fillId="0" borderId="0" xfId="5" applyNumberFormat="1" applyFont="1" applyFill="1"/>
    <xf numFmtId="0" fontId="13" fillId="0" borderId="0" xfId="5" applyFont="1" applyFill="1" applyAlignment="1">
      <alignment wrapText="1"/>
    </xf>
    <xf numFmtId="0" fontId="19" fillId="0" borderId="0" xfId="5" applyFont="1" applyFill="1" applyAlignment="1">
      <alignment wrapText="1"/>
    </xf>
    <xf numFmtId="0" fontId="6" fillId="0" borderId="0" xfId="5" applyFont="1" applyFill="1" applyAlignment="1">
      <alignment horizontal="left"/>
    </xf>
    <xf numFmtId="3" fontId="6" fillId="0" borderId="0" xfId="5" applyNumberFormat="1" applyFont="1" applyFill="1" applyAlignment="1">
      <alignment horizontal="centerContinuous"/>
    </xf>
    <xf numFmtId="0" fontId="13" fillId="0" borderId="0" xfId="0" applyFont="1" applyFill="1" applyAlignment="1">
      <alignment wrapText="1"/>
    </xf>
    <xf numFmtId="0" fontId="19" fillId="0" borderId="0" xfId="0" applyFont="1" applyFill="1"/>
    <xf numFmtId="0" fontId="3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0" fontId="6" fillId="0" borderId="0" xfId="2" applyFont="1" applyFill="1" applyAlignment="1"/>
    <xf numFmtId="0" fontId="8" fillId="0" borderId="0" xfId="2" applyFont="1" applyFill="1" applyAlignment="1"/>
    <xf numFmtId="0" fontId="15" fillId="0" borderId="0" xfId="2" applyFont="1" applyFill="1" applyAlignment="1">
      <alignment horizontal="center"/>
    </xf>
    <xf numFmtId="0" fontId="18" fillId="0" borderId="0" xfId="2" applyFont="1" applyFill="1" applyAlignment="1">
      <alignment horizontal="center"/>
    </xf>
    <xf numFmtId="0" fontId="18" fillId="0" borderId="0" xfId="2" applyFont="1" applyFill="1"/>
    <xf numFmtId="0" fontId="16" fillId="0" borderId="0" xfId="2" applyFont="1" applyFill="1" applyBorder="1" applyAlignment="1">
      <alignment vertical="center" wrapText="1"/>
    </xf>
    <xf numFmtId="0" fontId="15" fillId="0" borderId="0" xfId="7" applyFont="1" applyFill="1" applyAlignment="1">
      <alignment horizontal="center"/>
    </xf>
    <xf numFmtId="0" fontId="16" fillId="0" borderId="0" xfId="7" applyFont="1" applyFill="1" applyAlignment="1">
      <alignment horizontal="centerContinuous"/>
    </xf>
    <xf numFmtId="3" fontId="16" fillId="0" borderId="0" xfId="7" applyNumberFormat="1" applyFont="1" applyFill="1" applyAlignment="1">
      <alignment horizontal="centerContinuous"/>
    </xf>
    <xf numFmtId="3" fontId="15" fillId="0" borderId="0" xfId="7" applyNumberFormat="1" applyFont="1" applyFill="1" applyAlignment="1">
      <alignment horizontal="centerContinuous"/>
    </xf>
    <xf numFmtId="0" fontId="15" fillId="0" borderId="0" xfId="7" applyFont="1" applyFill="1" applyAlignment="1">
      <alignment horizontal="center" wrapText="1"/>
    </xf>
    <xf numFmtId="0" fontId="15" fillId="0" borderId="0" xfId="7" applyFont="1" applyFill="1"/>
    <xf numFmtId="0" fontId="17" fillId="0" borderId="0" xfId="7" applyFont="1" applyFill="1"/>
    <xf numFmtId="4" fontId="16" fillId="0" borderId="0" xfId="7" applyNumberFormat="1" applyFont="1" applyFill="1"/>
    <xf numFmtId="0" fontId="15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6" fillId="0" borderId="0" xfId="2" applyFont="1" applyFill="1" applyAlignment="1"/>
    <xf numFmtId="0" fontId="16" fillId="0" borderId="0" xfId="8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3" fontId="15" fillId="0" borderId="9" xfId="7" applyNumberFormat="1" applyFont="1" applyFill="1" applyBorder="1" applyAlignment="1">
      <alignment horizontal="center" wrapText="1"/>
    </xf>
    <xf numFmtId="3" fontId="15" fillId="0" borderId="10" xfId="7" applyNumberFormat="1" applyFont="1" applyFill="1" applyBorder="1" applyAlignment="1">
      <alignment horizontal="center" wrapText="1"/>
    </xf>
    <xf numFmtId="0" fontId="15" fillId="0" borderId="0" xfId="2" applyFont="1" applyFill="1" applyAlignment="1">
      <alignment horizontal="center"/>
    </xf>
    <xf numFmtId="0" fontId="15" fillId="0" borderId="0" xfId="7" applyFont="1" applyFill="1" applyAlignment="1">
      <alignment horizontal="center"/>
    </xf>
    <xf numFmtId="3" fontId="15" fillId="0" borderId="0" xfId="7" applyNumberFormat="1" applyFont="1" applyFill="1" applyBorder="1" applyAlignment="1">
      <alignment horizontal="center" wrapText="1"/>
    </xf>
  </cellXfs>
  <cellStyles count="10">
    <cellStyle name="Normal_Budjet2005_palna raboten" xfId="9"/>
    <cellStyle name="Normal_PrilDimi" xfId="7"/>
    <cellStyle name="Normal_sesiaI ot4et 2" xfId="5"/>
    <cellStyle name="Normal_Sheet1" xfId="4"/>
    <cellStyle name="Нормален" xfId="0" builtinId="0"/>
    <cellStyle name="Нормален 2" xfId="2"/>
    <cellStyle name="Нормален 3" xfId="8"/>
    <cellStyle name="Нормален 3 2" xfId="6"/>
    <cellStyle name="Нормален_ИП-2011г-начална 2" xfId="1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225"/>
  <sheetViews>
    <sheetView topLeftCell="A187" zoomScale="85" zoomScaleNormal="85" workbookViewId="0">
      <selection activeCell="E224" sqref="E224"/>
    </sheetView>
  </sheetViews>
  <sheetFormatPr defaultColWidth="19.42578125" defaultRowHeight="15.75" x14ac:dyDescent="0.25"/>
  <cols>
    <col min="1" max="1" width="7.5703125" style="46" customWidth="1"/>
    <col min="2" max="4" width="15.42578125" style="46" customWidth="1"/>
    <col min="5" max="5" width="10.85546875" style="46" bestFit="1" customWidth="1"/>
    <col min="6" max="6" width="12.140625" style="46" bestFit="1" customWidth="1"/>
    <col min="7" max="16384" width="19.42578125" style="46"/>
  </cols>
  <sheetData>
    <row r="1" spans="1:3" x14ac:dyDescent="0.25">
      <c r="C1" s="116"/>
    </row>
    <row r="2" spans="1:3" s="34" customFormat="1" x14ac:dyDescent="0.25">
      <c r="C2" s="158"/>
    </row>
    <row r="3" spans="1:3" s="98" customFormat="1" x14ac:dyDescent="0.25">
      <c r="B3" s="152"/>
      <c r="C3" s="153"/>
    </row>
    <row r="4" spans="1:3" s="98" customFormat="1" x14ac:dyDescent="0.25">
      <c r="A4" s="34" t="s">
        <v>428</v>
      </c>
      <c r="B4" s="152"/>
      <c r="C4" s="153"/>
    </row>
    <row r="5" spans="1:3" s="99" customFormat="1" x14ac:dyDescent="0.25">
      <c r="A5" s="99" t="s">
        <v>422</v>
      </c>
      <c r="B5" s="152"/>
      <c r="C5" s="154"/>
    </row>
    <row r="6" spans="1:3" s="99" customFormat="1" x14ac:dyDescent="0.25">
      <c r="A6" s="99" t="s">
        <v>423</v>
      </c>
      <c r="B6" s="152"/>
      <c r="C6" s="154"/>
    </row>
    <row r="7" spans="1:3" s="99" customFormat="1" x14ac:dyDescent="0.25">
      <c r="B7" s="152"/>
      <c r="C7" s="154"/>
    </row>
    <row r="8" spans="1:3" s="99" customFormat="1" x14ac:dyDescent="0.25">
      <c r="B8" s="152"/>
      <c r="C8" s="154"/>
    </row>
    <row r="9" spans="1:3" s="99" customFormat="1" x14ac:dyDescent="0.25">
      <c r="A9" s="99" t="s">
        <v>424</v>
      </c>
      <c r="B9" s="152"/>
      <c r="C9" s="154"/>
    </row>
    <row r="10" spans="1:3" s="98" customFormat="1" x14ac:dyDescent="0.25">
      <c r="A10" s="99"/>
      <c r="B10" s="156"/>
      <c r="C10" s="153"/>
    </row>
    <row r="11" spans="1:3" s="99" customFormat="1" x14ac:dyDescent="0.25">
      <c r="B11" s="152"/>
      <c r="C11" s="154"/>
    </row>
    <row r="12" spans="1:3" s="99" customFormat="1" x14ac:dyDescent="0.25">
      <c r="A12" s="155" t="s">
        <v>425</v>
      </c>
      <c r="B12" s="152"/>
      <c r="C12" s="154"/>
    </row>
    <row r="13" spans="1:3" s="98" customFormat="1" x14ac:dyDescent="0.25">
      <c r="A13" s="99"/>
      <c r="B13" s="152"/>
      <c r="C13" s="153"/>
    </row>
    <row r="14" spans="1:3" s="98" customFormat="1" x14ac:dyDescent="0.25">
      <c r="A14" s="99"/>
      <c r="B14" s="152"/>
      <c r="C14" s="153"/>
    </row>
    <row r="15" spans="1:3" s="98" customFormat="1" x14ac:dyDescent="0.25">
      <c r="B15" s="152"/>
      <c r="C15" s="153"/>
    </row>
    <row r="16" spans="1:3" s="98" customFormat="1" x14ac:dyDescent="0.25">
      <c r="A16" s="98" t="s">
        <v>426</v>
      </c>
      <c r="B16" s="152"/>
      <c r="C16" s="153"/>
    </row>
    <row r="17" spans="1:7" s="98" customFormat="1" x14ac:dyDescent="0.25">
      <c r="B17" s="152"/>
      <c r="C17" s="153"/>
    </row>
    <row r="18" spans="1:7" x14ac:dyDescent="0.25">
      <c r="A18" s="98"/>
      <c r="B18" s="152"/>
      <c r="C18" s="157"/>
    </row>
    <row r="19" spans="1:7" x14ac:dyDescent="0.25">
      <c r="A19" s="98"/>
      <c r="B19" s="152"/>
      <c r="C19" s="157"/>
    </row>
    <row r="20" spans="1:7" x14ac:dyDescent="0.25">
      <c r="A20" s="98" t="s">
        <v>427</v>
      </c>
      <c r="B20" s="152"/>
      <c r="C20" s="157"/>
    </row>
    <row r="22" spans="1:7" x14ac:dyDescent="0.25">
      <c r="D22" s="47"/>
    </row>
    <row r="24" spans="1:7" x14ac:dyDescent="0.25">
      <c r="A24" s="151"/>
      <c r="B24" s="151"/>
      <c r="C24" s="151"/>
      <c r="D24" s="151"/>
    </row>
    <row r="25" spans="1:7" s="54" customFormat="1" x14ac:dyDescent="0.25">
      <c r="A25" s="49" t="s">
        <v>272</v>
      </c>
      <c r="B25" s="50"/>
      <c r="C25" s="51"/>
      <c r="D25" s="52"/>
      <c r="E25" s="53"/>
      <c r="F25" s="53"/>
      <c r="G25" s="53"/>
    </row>
    <row r="26" spans="1:7" s="54" customFormat="1" x14ac:dyDescent="0.25">
      <c r="A26" s="49"/>
      <c r="B26" s="50"/>
      <c r="C26" s="51"/>
      <c r="D26" s="52"/>
      <c r="E26" s="53"/>
      <c r="F26" s="53"/>
      <c r="G26" s="53"/>
    </row>
    <row r="27" spans="1:7" s="34" customFormat="1" x14ac:dyDescent="0.25">
      <c r="A27" s="49" t="s">
        <v>273</v>
      </c>
      <c r="B27" s="55"/>
      <c r="C27" s="50"/>
      <c r="D27" s="56"/>
      <c r="E27" s="56"/>
      <c r="F27" s="56"/>
      <c r="G27" s="56"/>
    </row>
    <row r="28" spans="1:7" s="34" customFormat="1" x14ac:dyDescent="0.25">
      <c r="A28" s="34" t="s">
        <v>274</v>
      </c>
      <c r="B28" s="55"/>
      <c r="C28" s="57"/>
      <c r="D28" s="58"/>
      <c r="E28" s="58"/>
      <c r="F28" s="58"/>
      <c r="G28" s="58"/>
    </row>
    <row r="29" spans="1:7" s="34" customFormat="1" x14ac:dyDescent="0.25">
      <c r="A29" s="59" t="s">
        <v>275</v>
      </c>
      <c r="B29" s="55"/>
      <c r="C29" s="55"/>
      <c r="D29" s="61"/>
      <c r="E29" s="61"/>
      <c r="F29" s="61"/>
      <c r="G29" s="61"/>
    </row>
    <row r="30" spans="1:7" s="34" customFormat="1" x14ac:dyDescent="0.25">
      <c r="A30" s="59" t="s">
        <v>276</v>
      </c>
      <c r="B30" s="55"/>
      <c r="C30" s="55"/>
      <c r="D30" s="61"/>
      <c r="E30" s="61"/>
      <c r="F30" s="61"/>
      <c r="G30" s="61"/>
    </row>
    <row r="31" spans="1:7" s="34" customFormat="1" x14ac:dyDescent="0.25">
      <c r="A31" s="60" t="s">
        <v>277</v>
      </c>
      <c r="B31" s="62" t="s">
        <v>278</v>
      </c>
      <c r="C31" s="63" t="s">
        <v>279</v>
      </c>
      <c r="D31" s="63" t="s">
        <v>350</v>
      </c>
    </row>
    <row r="32" spans="1:7" s="34" customFormat="1" x14ac:dyDescent="0.25">
      <c r="A32" s="60" t="s">
        <v>280</v>
      </c>
      <c r="B32" s="64" t="s">
        <v>281</v>
      </c>
      <c r="C32" s="65">
        <f>D32</f>
        <v>-203</v>
      </c>
      <c r="D32" s="65">
        <f>SUM(D33,D35)</f>
        <v>-203</v>
      </c>
    </row>
    <row r="33" spans="1:247" s="34" customFormat="1" x14ac:dyDescent="0.25">
      <c r="A33" s="54" t="s">
        <v>283</v>
      </c>
      <c r="B33" s="50" t="s">
        <v>284</v>
      </c>
      <c r="C33" s="66">
        <f t="shared" ref="C33:C34" si="0">D33</f>
        <v>-204</v>
      </c>
      <c r="D33" s="66">
        <f t="shared" ref="D33:D35" si="1">SUM(D34)</f>
        <v>-204</v>
      </c>
    </row>
    <row r="34" spans="1:247" s="34" customFormat="1" x14ac:dyDescent="0.25">
      <c r="A34" s="67" t="s">
        <v>420</v>
      </c>
      <c r="B34" s="55"/>
      <c r="C34" s="66">
        <f t="shared" si="0"/>
        <v>-204</v>
      </c>
      <c r="D34" s="66">
        <v>-204</v>
      </c>
    </row>
    <row r="35" spans="1:247" s="34" customFormat="1" x14ac:dyDescent="0.25">
      <c r="A35" s="54" t="s">
        <v>303</v>
      </c>
      <c r="B35" s="50" t="s">
        <v>352</v>
      </c>
      <c r="C35" s="66">
        <f t="shared" ref="C35:C55" si="2">D35</f>
        <v>1</v>
      </c>
      <c r="D35" s="66">
        <f t="shared" si="1"/>
        <v>1</v>
      </c>
    </row>
    <row r="36" spans="1:247" s="34" customFormat="1" x14ac:dyDescent="0.25">
      <c r="A36" s="67" t="s">
        <v>420</v>
      </c>
      <c r="B36" s="55"/>
      <c r="C36" s="66">
        <f t="shared" si="2"/>
        <v>1</v>
      </c>
      <c r="D36" s="66">
        <v>1</v>
      </c>
    </row>
    <row r="37" spans="1:247" x14ac:dyDescent="0.25">
      <c r="A37" s="54" t="s">
        <v>304</v>
      </c>
      <c r="B37" s="68">
        <v>2800</v>
      </c>
      <c r="C37" s="69">
        <f>SUM(D37)</f>
        <v>243</v>
      </c>
      <c r="D37" s="69">
        <f>SUM(D38)</f>
        <v>243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</row>
    <row r="38" spans="1:247" x14ac:dyDescent="0.25">
      <c r="A38" s="54" t="s">
        <v>305</v>
      </c>
      <c r="B38" s="51">
        <v>2802</v>
      </c>
      <c r="C38" s="66">
        <f>D38</f>
        <v>243</v>
      </c>
      <c r="D38" s="66">
        <f t="shared" ref="D38" si="3">SUM(D39)</f>
        <v>243</v>
      </c>
    </row>
    <row r="39" spans="1:247" s="34" customFormat="1" x14ac:dyDescent="0.25">
      <c r="A39" s="67" t="s">
        <v>420</v>
      </c>
      <c r="B39" s="55"/>
      <c r="C39" s="66">
        <f>D39</f>
        <v>243</v>
      </c>
      <c r="D39" s="66">
        <v>243</v>
      </c>
    </row>
    <row r="40" spans="1:247" s="34" customFormat="1" x14ac:dyDescent="0.25">
      <c r="A40" s="60" t="s">
        <v>285</v>
      </c>
      <c r="B40" s="68">
        <v>3600</v>
      </c>
      <c r="C40" s="69">
        <f t="shared" si="2"/>
        <v>760</v>
      </c>
      <c r="D40" s="69">
        <f>SUM(D41,D43,D45)</f>
        <v>760</v>
      </c>
    </row>
    <row r="41" spans="1:247" x14ac:dyDescent="0.25">
      <c r="A41" s="54" t="s">
        <v>306</v>
      </c>
      <c r="B41" s="51">
        <v>3601</v>
      </c>
      <c r="C41" s="52">
        <f t="shared" ref="C41:C42" si="4">D41</f>
        <v>-3</v>
      </c>
      <c r="D41" s="52">
        <f t="shared" ref="D41:D45" si="5">SUM(D42)</f>
        <v>-3</v>
      </c>
    </row>
    <row r="42" spans="1:247" x14ac:dyDescent="0.25">
      <c r="A42" s="54" t="s">
        <v>420</v>
      </c>
      <c r="B42" s="51"/>
      <c r="C42" s="52">
        <f t="shared" si="4"/>
        <v>-3</v>
      </c>
      <c r="D42" s="52">
        <v>-3</v>
      </c>
    </row>
    <row r="43" spans="1:247" x14ac:dyDescent="0.25">
      <c r="A43" s="54" t="s">
        <v>286</v>
      </c>
      <c r="B43" s="51">
        <v>3611</v>
      </c>
      <c r="C43" s="52">
        <f t="shared" si="2"/>
        <v>3</v>
      </c>
      <c r="D43" s="52">
        <f t="shared" si="5"/>
        <v>3</v>
      </c>
    </row>
    <row r="44" spans="1:247" x14ac:dyDescent="0.25">
      <c r="A44" s="54" t="s">
        <v>420</v>
      </c>
      <c r="B44" s="51"/>
      <c r="C44" s="52">
        <f t="shared" si="2"/>
        <v>3</v>
      </c>
      <c r="D44" s="52">
        <v>3</v>
      </c>
    </row>
    <row r="45" spans="1:247" x14ac:dyDescent="0.25">
      <c r="A45" s="54" t="s">
        <v>307</v>
      </c>
      <c r="B45" s="51">
        <v>3619</v>
      </c>
      <c r="C45" s="52">
        <f t="shared" ref="C45:C46" si="6">D45</f>
        <v>760</v>
      </c>
      <c r="D45" s="52">
        <f t="shared" si="5"/>
        <v>760</v>
      </c>
    </row>
    <row r="46" spans="1:247" x14ac:dyDescent="0.25">
      <c r="A46" s="54" t="s">
        <v>420</v>
      </c>
      <c r="B46" s="51"/>
      <c r="C46" s="52">
        <f t="shared" si="6"/>
        <v>760</v>
      </c>
      <c r="D46" s="52">
        <v>760</v>
      </c>
    </row>
    <row r="47" spans="1:247" s="34" customFormat="1" x14ac:dyDescent="0.25">
      <c r="A47" s="60" t="s">
        <v>287</v>
      </c>
      <c r="B47" s="68">
        <v>3700</v>
      </c>
      <c r="C47" s="69">
        <f>SUM(C48)</f>
        <v>-800</v>
      </c>
      <c r="D47" s="69">
        <f>SUM(D48)</f>
        <v>-800</v>
      </c>
    </row>
    <row r="48" spans="1:247" s="34" customFormat="1" x14ac:dyDescent="0.25">
      <c r="A48" s="54" t="s">
        <v>288</v>
      </c>
      <c r="B48" s="51">
        <v>3702</v>
      </c>
      <c r="C48" s="52">
        <f t="shared" si="2"/>
        <v>-800</v>
      </c>
      <c r="D48" s="52">
        <f>D49</f>
        <v>-800</v>
      </c>
    </row>
    <row r="49" spans="1:4" s="34" customFormat="1" x14ac:dyDescent="0.25">
      <c r="A49" s="54" t="s">
        <v>420</v>
      </c>
      <c r="B49" s="57"/>
      <c r="C49" s="52">
        <f t="shared" si="2"/>
        <v>-800</v>
      </c>
      <c r="D49" s="52">
        <v>-800</v>
      </c>
    </row>
    <row r="50" spans="1:4" s="34" customFormat="1" x14ac:dyDescent="0.25">
      <c r="A50" s="70" t="s">
        <v>289</v>
      </c>
      <c r="B50" s="68">
        <v>4500</v>
      </c>
      <c r="C50" s="71">
        <f t="shared" si="2"/>
        <v>490</v>
      </c>
      <c r="D50" s="71">
        <f>SUM(,D51)</f>
        <v>490</v>
      </c>
    </row>
    <row r="51" spans="1:4" s="34" customFormat="1" x14ac:dyDescent="0.25">
      <c r="A51" s="54" t="s">
        <v>290</v>
      </c>
      <c r="B51" s="51">
        <v>4501</v>
      </c>
      <c r="C51" s="72">
        <f t="shared" si="2"/>
        <v>490</v>
      </c>
      <c r="D51" s="72">
        <f t="shared" ref="D51" si="7">SUM(D52)</f>
        <v>490</v>
      </c>
    </row>
    <row r="52" spans="1:4" s="34" customFormat="1" x14ac:dyDescent="0.25">
      <c r="A52" s="54" t="s">
        <v>420</v>
      </c>
      <c r="B52" s="51"/>
      <c r="C52" s="72">
        <f t="shared" si="2"/>
        <v>490</v>
      </c>
      <c r="D52" s="72">
        <v>490</v>
      </c>
    </row>
    <row r="53" spans="1:4" s="34" customFormat="1" x14ac:dyDescent="0.25">
      <c r="A53" s="73" t="s">
        <v>291</v>
      </c>
      <c r="B53" s="74"/>
      <c r="C53" s="75">
        <f>D53</f>
        <v>490</v>
      </c>
      <c r="D53" s="75">
        <f>SUM(D32,D37,D40,D47,D50)</f>
        <v>490</v>
      </c>
    </row>
    <row r="54" spans="1:4" s="34" customFormat="1" x14ac:dyDescent="0.25">
      <c r="A54" s="76"/>
      <c r="B54" s="77"/>
      <c r="C54" s="78"/>
      <c r="D54" s="78"/>
    </row>
    <row r="55" spans="1:4" s="34" customFormat="1" ht="16.5" thickBot="1" x14ac:dyDescent="0.3">
      <c r="A55" s="79" t="s">
        <v>292</v>
      </c>
      <c r="B55" s="80"/>
      <c r="C55" s="81">
        <f t="shared" si="2"/>
        <v>490</v>
      </c>
      <c r="D55" s="81">
        <f>SUM(D53)</f>
        <v>490</v>
      </c>
    </row>
    <row r="56" spans="1:4" s="34" customFormat="1" ht="16.5" thickTop="1" x14ac:dyDescent="0.25">
      <c r="A56" s="60"/>
    </row>
    <row r="57" spans="1:4" s="83" customFormat="1" x14ac:dyDescent="0.25">
      <c r="A57" s="82"/>
      <c r="B57" s="62" t="s">
        <v>278</v>
      </c>
      <c r="C57" s="63" t="s">
        <v>279</v>
      </c>
      <c r="D57" s="63" t="s">
        <v>350</v>
      </c>
    </row>
    <row r="58" spans="1:4" s="54" customFormat="1" x14ac:dyDescent="0.25">
      <c r="A58" s="60" t="s">
        <v>293</v>
      </c>
      <c r="B58" s="68">
        <v>6100</v>
      </c>
      <c r="C58" s="71">
        <f t="shared" ref="C58:C68" si="8">D58</f>
        <v>26678</v>
      </c>
      <c r="D58" s="71">
        <f>SUM(D59,D65,D61)</f>
        <v>26678</v>
      </c>
    </row>
    <row r="59" spans="1:4" s="54" customFormat="1" x14ac:dyDescent="0.25">
      <c r="A59" s="54" t="s">
        <v>294</v>
      </c>
      <c r="B59" s="84">
        <v>6101</v>
      </c>
      <c r="C59" s="85">
        <f t="shared" si="8"/>
        <v>13358</v>
      </c>
      <c r="D59" s="85">
        <f>SUM(D60:D60)</f>
        <v>13358</v>
      </c>
    </row>
    <row r="60" spans="1:4" s="54" customFormat="1" x14ac:dyDescent="0.25">
      <c r="A60" s="54" t="s">
        <v>420</v>
      </c>
      <c r="B60" s="57"/>
      <c r="C60" s="72">
        <f t="shared" si="8"/>
        <v>13358</v>
      </c>
      <c r="D60" s="72">
        <v>13358</v>
      </c>
    </row>
    <row r="61" spans="1:4" s="54" customFormat="1" x14ac:dyDescent="0.25">
      <c r="A61" s="54" t="s">
        <v>312</v>
      </c>
      <c r="B61" s="84">
        <v>6102</v>
      </c>
      <c r="C61" s="85">
        <f t="shared" ref="C61:C62" si="9">D61</f>
        <v>13320</v>
      </c>
      <c r="D61" s="85">
        <f>SUM(D62:D62)</f>
        <v>13320</v>
      </c>
    </row>
    <row r="62" spans="1:4" s="54" customFormat="1" x14ac:dyDescent="0.25">
      <c r="A62" s="54" t="s">
        <v>296</v>
      </c>
      <c r="B62" s="51"/>
      <c r="C62" s="72">
        <f t="shared" si="9"/>
        <v>13320</v>
      </c>
      <c r="D62" s="72">
        <v>13320</v>
      </c>
    </row>
    <row r="63" spans="1:4" s="54" customFormat="1" x14ac:dyDescent="0.25">
      <c r="B63" s="51"/>
      <c r="C63" s="72"/>
      <c r="D63" s="72"/>
    </row>
    <row r="64" spans="1:4" s="54" customFormat="1" x14ac:dyDescent="0.25">
      <c r="B64" s="51"/>
      <c r="C64" s="72"/>
      <c r="D64" s="72"/>
    </row>
    <row r="65" spans="1:4" s="60" customFormat="1" x14ac:dyDescent="0.25">
      <c r="A65" s="54" t="s">
        <v>295</v>
      </c>
      <c r="B65" s="84">
        <v>6109</v>
      </c>
      <c r="C65" s="71">
        <f>D65</f>
        <v>0</v>
      </c>
      <c r="D65" s="71">
        <f>SUM(D66:D68)</f>
        <v>0</v>
      </c>
    </row>
    <row r="66" spans="1:4" s="54" customFormat="1" x14ac:dyDescent="0.25">
      <c r="A66" s="54" t="s">
        <v>282</v>
      </c>
      <c r="B66" s="51">
        <v>6109</v>
      </c>
      <c r="C66" s="72">
        <f t="shared" si="8"/>
        <v>-34507</v>
      </c>
      <c r="D66" s="72">
        <v>-34507</v>
      </c>
    </row>
    <row r="67" spans="1:4" s="54" customFormat="1" x14ac:dyDescent="0.25">
      <c r="A67" s="54" t="s">
        <v>296</v>
      </c>
      <c r="B67" s="51">
        <v>6109</v>
      </c>
      <c r="C67" s="72">
        <f t="shared" si="8"/>
        <v>33366</v>
      </c>
      <c r="D67" s="72">
        <v>33366</v>
      </c>
    </row>
    <row r="68" spans="1:4" x14ac:dyDescent="0.25">
      <c r="A68" s="67" t="s">
        <v>298</v>
      </c>
      <c r="B68" s="51">
        <v>6109</v>
      </c>
      <c r="C68" s="52">
        <f t="shared" si="8"/>
        <v>1141</v>
      </c>
      <c r="D68" s="53">
        <v>1141</v>
      </c>
    </row>
    <row r="69" spans="1:4" s="54" customFormat="1" ht="16.5" thickBot="1" x14ac:dyDescent="0.3">
      <c r="A69" s="79" t="s">
        <v>300</v>
      </c>
      <c r="B69" s="86"/>
      <c r="C69" s="87">
        <f>D69</f>
        <v>26678</v>
      </c>
      <c r="D69" s="87">
        <f>SUM(D58)</f>
        <v>26678</v>
      </c>
    </row>
    <row r="70" spans="1:4" s="54" customFormat="1" ht="16.5" thickTop="1" x14ac:dyDescent="0.25">
      <c r="A70" s="76"/>
      <c r="B70" s="88"/>
      <c r="C70" s="89"/>
      <c r="D70" s="89"/>
    </row>
    <row r="71" spans="1:4" ht="16.5" thickBot="1" x14ac:dyDescent="0.3">
      <c r="A71" s="90" t="s">
        <v>301</v>
      </c>
      <c r="B71" s="86"/>
      <c r="C71" s="87">
        <f>SUM(C55,C69)</f>
        <v>27168</v>
      </c>
      <c r="D71" s="87">
        <f>SUM(D55,D69)</f>
        <v>27168</v>
      </c>
    </row>
    <row r="72" spans="1:4" ht="16.5" thickTop="1" x14ac:dyDescent="0.25">
      <c r="A72" s="59"/>
      <c r="B72" s="57"/>
      <c r="C72" s="58"/>
      <c r="D72" s="58"/>
    </row>
    <row r="73" spans="1:4" s="54" customFormat="1" x14ac:dyDescent="0.25">
      <c r="A73" s="59" t="s">
        <v>302</v>
      </c>
      <c r="B73" s="50"/>
      <c r="C73" s="56"/>
      <c r="D73" s="56"/>
    </row>
    <row r="74" spans="1:4" s="34" customFormat="1" x14ac:dyDescent="0.25">
      <c r="A74" s="60" t="s">
        <v>277</v>
      </c>
      <c r="B74" s="62" t="s">
        <v>278</v>
      </c>
      <c r="C74" s="63" t="s">
        <v>279</v>
      </c>
      <c r="D74" s="63" t="s">
        <v>350</v>
      </c>
    </row>
    <row r="75" spans="1:4" s="34" customFormat="1" x14ac:dyDescent="0.25">
      <c r="A75" s="60" t="s">
        <v>287</v>
      </c>
      <c r="B75" s="64" t="s">
        <v>308</v>
      </c>
      <c r="C75" s="65">
        <f t="shared" ref="C75:C83" si="10">SUM(D75)</f>
        <v>0</v>
      </c>
      <c r="D75" s="65">
        <f>SUM(D76)</f>
        <v>0</v>
      </c>
    </row>
    <row r="76" spans="1:4" s="34" customFormat="1" x14ac:dyDescent="0.25">
      <c r="A76" s="54" t="s">
        <v>310</v>
      </c>
      <c r="B76" s="84">
        <v>3702</v>
      </c>
      <c r="C76" s="95">
        <f t="shared" si="10"/>
        <v>0</v>
      </c>
      <c r="D76" s="95">
        <f>SUM(D77:D78)</f>
        <v>0</v>
      </c>
    </row>
    <row r="77" spans="1:4" x14ac:dyDescent="0.25">
      <c r="A77" s="54" t="s">
        <v>309</v>
      </c>
      <c r="B77" s="92">
        <v>3702</v>
      </c>
      <c r="C77" s="52">
        <f t="shared" si="10"/>
        <v>-658</v>
      </c>
      <c r="D77" s="52">
        <v>-658</v>
      </c>
    </row>
    <row r="78" spans="1:4" s="34" customFormat="1" x14ac:dyDescent="0.25">
      <c r="A78" s="54" t="s">
        <v>421</v>
      </c>
      <c r="B78" s="92">
        <v>3702</v>
      </c>
      <c r="C78" s="66">
        <f t="shared" si="10"/>
        <v>658</v>
      </c>
      <c r="D78" s="72">
        <v>658</v>
      </c>
    </row>
    <row r="79" spans="1:4" s="34" customFormat="1" x14ac:dyDescent="0.25">
      <c r="A79" s="70" t="s">
        <v>289</v>
      </c>
      <c r="B79" s="68">
        <v>4500</v>
      </c>
      <c r="C79" s="71">
        <f t="shared" si="10"/>
        <v>9240</v>
      </c>
      <c r="D79" s="71">
        <f>SUM(D80)</f>
        <v>9240</v>
      </c>
    </row>
    <row r="80" spans="1:4" s="34" customFormat="1" x14ac:dyDescent="0.25">
      <c r="A80" s="54" t="s">
        <v>290</v>
      </c>
      <c r="B80" s="93">
        <v>4501</v>
      </c>
      <c r="C80" s="94">
        <f>SUM(D80)</f>
        <v>9240</v>
      </c>
      <c r="D80" s="94">
        <f>SUM(D81:D81)</f>
        <v>9240</v>
      </c>
    </row>
    <row r="81" spans="1:4" s="34" customFormat="1" x14ac:dyDescent="0.25">
      <c r="A81" s="54" t="s">
        <v>421</v>
      </c>
      <c r="B81" s="92">
        <v>4501</v>
      </c>
      <c r="C81" s="66">
        <f t="shared" si="10"/>
        <v>9240</v>
      </c>
      <c r="D81" s="72">
        <v>9240</v>
      </c>
    </row>
    <row r="82" spans="1:4" s="34" customFormat="1" x14ac:dyDescent="0.25">
      <c r="A82" s="73" t="s">
        <v>291</v>
      </c>
      <c r="B82" s="74"/>
      <c r="C82" s="75">
        <f t="shared" si="10"/>
        <v>9240</v>
      </c>
      <c r="D82" s="75">
        <f>SUM(D75,D79)</f>
        <v>9240</v>
      </c>
    </row>
    <row r="83" spans="1:4" s="34" customFormat="1" ht="16.5" thickBot="1" x14ac:dyDescent="0.3">
      <c r="A83" s="79" t="s">
        <v>292</v>
      </c>
      <c r="B83" s="80"/>
      <c r="C83" s="81">
        <f t="shared" si="10"/>
        <v>9240</v>
      </c>
      <c r="D83" s="81">
        <f>SUM(,D82)</f>
        <v>9240</v>
      </c>
    </row>
    <row r="84" spans="1:4" s="34" customFormat="1" ht="16.5" thickTop="1" x14ac:dyDescent="0.25">
      <c r="A84" s="60"/>
      <c r="B84" s="55"/>
      <c r="C84" s="96"/>
      <c r="D84" s="96"/>
    </row>
    <row r="85" spans="1:4" s="34" customFormat="1" x14ac:dyDescent="0.25">
      <c r="A85" s="60" t="s">
        <v>311</v>
      </c>
      <c r="B85" s="62" t="s">
        <v>278</v>
      </c>
      <c r="C85" s="63" t="s">
        <v>279</v>
      </c>
      <c r="D85" s="63" t="s">
        <v>350</v>
      </c>
    </row>
    <row r="86" spans="1:4" s="54" customFormat="1" x14ac:dyDescent="0.25">
      <c r="A86" s="60" t="s">
        <v>293</v>
      </c>
      <c r="B86" s="68">
        <v>6100</v>
      </c>
      <c r="C86" s="71">
        <f t="shared" ref="C86:C94" si="11">SUM(D86)</f>
        <v>-107494</v>
      </c>
      <c r="D86" s="71">
        <f>SUM(D87,D89)</f>
        <v>-107494</v>
      </c>
    </row>
    <row r="87" spans="1:4" s="54" customFormat="1" x14ac:dyDescent="0.25">
      <c r="A87" s="54" t="s">
        <v>312</v>
      </c>
      <c r="B87" s="84">
        <v>6102</v>
      </c>
      <c r="C87" s="85">
        <f t="shared" si="11"/>
        <v>-107494</v>
      </c>
      <c r="D87" s="85">
        <f>SUM(D88:D88)</f>
        <v>-107494</v>
      </c>
    </row>
    <row r="88" spans="1:4" s="54" customFormat="1" x14ac:dyDescent="0.25">
      <c r="A88" s="54" t="s">
        <v>282</v>
      </c>
      <c r="B88" s="92">
        <v>6102</v>
      </c>
      <c r="C88" s="72">
        <f t="shared" si="11"/>
        <v>-107494</v>
      </c>
      <c r="D88" s="72">
        <v>-107494</v>
      </c>
    </row>
    <row r="89" spans="1:4" s="60" customFormat="1" x14ac:dyDescent="0.25">
      <c r="A89" s="54" t="s">
        <v>295</v>
      </c>
      <c r="B89" s="84">
        <v>6109</v>
      </c>
      <c r="C89" s="71">
        <f t="shared" si="11"/>
        <v>0</v>
      </c>
      <c r="D89" s="71">
        <f>SUM(D90:D93)</f>
        <v>0</v>
      </c>
    </row>
    <row r="90" spans="1:4" s="54" customFormat="1" x14ac:dyDescent="0.25">
      <c r="A90" s="54" t="s">
        <v>282</v>
      </c>
      <c r="B90" s="51">
        <v>6109</v>
      </c>
      <c r="C90" s="72">
        <f t="shared" si="11"/>
        <v>-44712</v>
      </c>
      <c r="D90" s="72">
        <v>-44712</v>
      </c>
    </row>
    <row r="91" spans="1:4" x14ac:dyDescent="0.25">
      <c r="A91" s="54" t="s">
        <v>421</v>
      </c>
      <c r="B91" s="51">
        <v>6109</v>
      </c>
      <c r="C91" s="52">
        <f t="shared" si="11"/>
        <v>10442</v>
      </c>
      <c r="D91" s="53">
        <v>10442</v>
      </c>
    </row>
    <row r="92" spans="1:4" s="54" customFormat="1" x14ac:dyDescent="0.25">
      <c r="A92" s="67" t="s">
        <v>297</v>
      </c>
      <c r="B92" s="51">
        <v>6109</v>
      </c>
      <c r="C92" s="72">
        <f t="shared" si="11"/>
        <v>14400</v>
      </c>
      <c r="D92" s="72">
        <v>14400</v>
      </c>
    </row>
    <row r="93" spans="1:4" s="54" customFormat="1" x14ac:dyDescent="0.25">
      <c r="A93" s="67" t="s">
        <v>299</v>
      </c>
      <c r="B93" s="51">
        <v>6109</v>
      </c>
      <c r="C93" s="72">
        <f t="shared" si="11"/>
        <v>19870</v>
      </c>
      <c r="D93" s="72">
        <v>19870</v>
      </c>
    </row>
    <row r="94" spans="1:4" s="54" customFormat="1" ht="16.5" thickBot="1" x14ac:dyDescent="0.3">
      <c r="A94" s="79" t="s">
        <v>300</v>
      </c>
      <c r="B94" s="86"/>
      <c r="C94" s="87">
        <f t="shared" si="11"/>
        <v>-107494</v>
      </c>
      <c r="D94" s="87">
        <f>SUM(D86)</f>
        <v>-107494</v>
      </c>
    </row>
    <row r="95" spans="1:4" s="54" customFormat="1" ht="10.5" customHeight="1" thickTop="1" x14ac:dyDescent="0.25">
      <c r="A95" s="76"/>
      <c r="B95" s="88"/>
      <c r="C95" s="89"/>
      <c r="D95" s="89"/>
    </row>
    <row r="96" spans="1:4" s="54" customFormat="1" ht="16.5" thickBot="1" x14ac:dyDescent="0.3">
      <c r="A96" s="90" t="s">
        <v>313</v>
      </c>
      <c r="B96" s="86"/>
      <c r="C96" s="81">
        <f t="shared" ref="C96" si="12">SUM(D96)</f>
        <v>-98254</v>
      </c>
      <c r="D96" s="81">
        <f>SUM(D83,D94)</f>
        <v>-98254</v>
      </c>
    </row>
    <row r="97" spans="1:7" s="54" customFormat="1" ht="17.25" thickTop="1" thickBot="1" x14ac:dyDescent="0.3">
      <c r="A97" s="90"/>
      <c r="B97" s="86"/>
      <c r="C97" s="81"/>
      <c r="D97" s="81"/>
    </row>
    <row r="98" spans="1:7" s="54" customFormat="1" ht="17.25" thickTop="1" thickBot="1" x14ac:dyDescent="0.3">
      <c r="A98" s="90" t="s">
        <v>314</v>
      </c>
      <c r="B98" s="86"/>
      <c r="C98" s="81">
        <f t="shared" ref="C98" si="13">SUM(D98)</f>
        <v>-71086</v>
      </c>
      <c r="D98" s="81">
        <f>SUM(D71,D96)</f>
        <v>-71086</v>
      </c>
    </row>
    <row r="99" spans="1:7" s="54" customFormat="1" ht="16.5" thickTop="1" x14ac:dyDescent="0.25">
      <c r="A99" s="59"/>
      <c r="B99" s="91"/>
      <c r="C99" s="57"/>
      <c r="D99" s="96"/>
      <c r="E99" s="96"/>
      <c r="F99" s="96"/>
      <c r="G99" s="96"/>
    </row>
    <row r="100" spans="1:7" x14ac:dyDescent="0.25">
      <c r="A100" s="49" t="s">
        <v>315</v>
      </c>
    </row>
    <row r="101" spans="1:7" x14ac:dyDescent="0.25">
      <c r="A101" s="97" t="s">
        <v>316</v>
      </c>
      <c r="C101" s="98"/>
      <c r="D101" s="98"/>
    </row>
    <row r="102" spans="1:7" x14ac:dyDescent="0.25">
      <c r="A102" s="99" t="s">
        <v>320</v>
      </c>
      <c r="C102" s="99"/>
      <c r="D102" s="100">
        <f>SUM(C103)</f>
        <v>0</v>
      </c>
    </row>
    <row r="103" spans="1:7" x14ac:dyDescent="0.25">
      <c r="A103" s="99" t="s">
        <v>321</v>
      </c>
      <c r="C103" s="100">
        <f>SUM(C104:C105)</f>
        <v>0</v>
      </c>
      <c r="D103" s="99"/>
    </row>
    <row r="104" spans="1:7" x14ac:dyDescent="0.25">
      <c r="A104" s="98" t="s">
        <v>319</v>
      </c>
      <c r="C104" s="101">
        <v>-1141</v>
      </c>
      <c r="D104" s="98"/>
    </row>
    <row r="105" spans="1:7" x14ac:dyDescent="0.25">
      <c r="A105" s="98"/>
      <c r="C105" s="101">
        <v>1141</v>
      </c>
      <c r="D105" s="99"/>
    </row>
    <row r="106" spans="1:7" x14ac:dyDescent="0.25">
      <c r="A106" s="98"/>
      <c r="C106" s="101"/>
      <c r="D106" s="98"/>
    </row>
    <row r="107" spans="1:7" x14ac:dyDescent="0.25">
      <c r="A107" s="98" t="s">
        <v>319</v>
      </c>
      <c r="C107" s="101">
        <f>12714+1134</f>
        <v>13848</v>
      </c>
      <c r="D107" s="99"/>
    </row>
    <row r="108" spans="1:7" x14ac:dyDescent="0.25">
      <c r="A108" s="99" t="s">
        <v>331</v>
      </c>
      <c r="C108" s="99"/>
      <c r="D108" s="100">
        <f>SUM(C109:C110)</f>
        <v>0</v>
      </c>
    </row>
    <row r="109" spans="1:7" x14ac:dyDescent="0.25">
      <c r="A109" s="98" t="s">
        <v>319</v>
      </c>
      <c r="C109" s="101">
        <v>-23310</v>
      </c>
      <c r="D109" s="98"/>
    </row>
    <row r="110" spans="1:7" x14ac:dyDescent="0.25">
      <c r="A110" s="98"/>
      <c r="C110" s="101">
        <v>23310</v>
      </c>
      <c r="D110" s="98"/>
    </row>
    <row r="111" spans="1:7" x14ac:dyDescent="0.25">
      <c r="A111" s="98"/>
      <c r="C111" s="101"/>
      <c r="D111" s="98"/>
    </row>
    <row r="112" spans="1:7" x14ac:dyDescent="0.25">
      <c r="A112" s="99" t="s">
        <v>324</v>
      </c>
      <c r="D112" s="99"/>
    </row>
    <row r="113" spans="1:4" x14ac:dyDescent="0.25">
      <c r="A113" s="99" t="s">
        <v>325</v>
      </c>
      <c r="C113" s="100">
        <f>SUM(C114:C114)</f>
        <v>23376</v>
      </c>
      <c r="D113" s="99"/>
    </row>
    <row r="114" spans="1:4" x14ac:dyDescent="0.25">
      <c r="A114" s="98"/>
      <c r="C114" s="101">
        <v>23376</v>
      </c>
      <c r="D114" s="98"/>
    </row>
    <row r="115" spans="1:4" x14ac:dyDescent="0.25">
      <c r="A115" s="98"/>
      <c r="C115" s="101"/>
      <c r="D115" s="98"/>
    </row>
    <row r="116" spans="1:4" ht="16.5" thickBot="1" x14ac:dyDescent="0.3">
      <c r="A116" s="102" t="s">
        <v>328</v>
      </c>
      <c r="B116" s="103"/>
      <c r="C116" s="102"/>
      <c r="D116" s="104" t="e">
        <f>SUM(D102,#REF!,D108,#REF!)</f>
        <v>#REF!</v>
      </c>
    </row>
    <row r="117" spans="1:4" ht="16.5" thickTop="1" x14ac:dyDescent="0.25">
      <c r="A117" s="105"/>
      <c r="B117" s="54"/>
      <c r="C117" s="105"/>
      <c r="D117" s="106"/>
    </row>
    <row r="118" spans="1:4" x14ac:dyDescent="0.25">
      <c r="A118" s="105"/>
      <c r="B118" s="54"/>
      <c r="C118" s="105"/>
      <c r="D118" s="106"/>
    </row>
    <row r="119" spans="1:4" x14ac:dyDescent="0.25">
      <c r="A119" s="105"/>
      <c r="B119" s="54"/>
      <c r="C119" s="105"/>
      <c r="D119" s="106"/>
    </row>
    <row r="120" spans="1:4" x14ac:dyDescent="0.25">
      <c r="A120" s="105"/>
      <c r="B120" s="54"/>
      <c r="C120" s="105"/>
      <c r="D120" s="106"/>
    </row>
    <row r="121" spans="1:4" x14ac:dyDescent="0.25">
      <c r="A121" s="105"/>
      <c r="B121" s="54"/>
      <c r="C121" s="105"/>
      <c r="D121" s="106"/>
    </row>
    <row r="122" spans="1:4" x14ac:dyDescent="0.25">
      <c r="A122" s="105"/>
      <c r="B122" s="54"/>
      <c r="C122" s="105"/>
      <c r="D122" s="106"/>
    </row>
    <row r="123" spans="1:4" x14ac:dyDescent="0.25">
      <c r="A123" s="97" t="s">
        <v>329</v>
      </c>
      <c r="C123" s="99"/>
      <c r="D123" s="99"/>
    </row>
    <row r="124" spans="1:4" x14ac:dyDescent="0.25">
      <c r="A124" s="97" t="s">
        <v>330</v>
      </c>
      <c r="C124" s="99"/>
      <c r="D124" s="99"/>
    </row>
    <row r="125" spans="1:4" x14ac:dyDescent="0.25">
      <c r="A125" s="99" t="s">
        <v>322</v>
      </c>
      <c r="C125" s="99"/>
      <c r="D125" s="100">
        <f>SUM(C126:C127)</f>
        <v>213547</v>
      </c>
    </row>
    <row r="126" spans="1:4" x14ac:dyDescent="0.25">
      <c r="A126" s="98" t="s">
        <v>319</v>
      </c>
      <c r="C126" s="101">
        <f>187173+22512</f>
        <v>209685</v>
      </c>
      <c r="D126" s="98"/>
    </row>
    <row r="127" spans="1:4" x14ac:dyDescent="0.25">
      <c r="A127" s="98"/>
      <c r="C127" s="101">
        <v>3862</v>
      </c>
      <c r="D127" s="99"/>
    </row>
    <row r="128" spans="1:4" x14ac:dyDescent="0.25">
      <c r="A128" s="98"/>
      <c r="C128" s="101"/>
      <c r="D128" s="99"/>
    </row>
    <row r="129" spans="1:4" x14ac:dyDescent="0.25">
      <c r="A129" s="99" t="s">
        <v>326</v>
      </c>
      <c r="C129" s="101"/>
      <c r="D129" s="100">
        <f>SUM(C130)</f>
        <v>91901</v>
      </c>
    </row>
    <row r="130" spans="1:4" x14ac:dyDescent="0.25">
      <c r="A130" s="99" t="s">
        <v>327</v>
      </c>
      <c r="C130" s="100">
        <f>SUM(C131:C132)</f>
        <v>91901</v>
      </c>
      <c r="D130" s="98"/>
    </row>
    <row r="131" spans="1:4" x14ac:dyDescent="0.25">
      <c r="A131" s="98" t="s">
        <v>319</v>
      </c>
      <c r="C131" s="101">
        <v>64561</v>
      </c>
      <c r="D131" s="98"/>
    </row>
    <row r="132" spans="1:4" x14ac:dyDescent="0.25">
      <c r="A132" s="98"/>
      <c r="C132" s="101">
        <v>27340</v>
      </c>
      <c r="D132" s="98"/>
    </row>
    <row r="133" spans="1:4" x14ac:dyDescent="0.25">
      <c r="A133" s="98"/>
      <c r="C133" s="101"/>
      <c r="D133" s="98"/>
    </row>
    <row r="134" spans="1:4" x14ac:dyDescent="0.25">
      <c r="A134" s="107" t="s">
        <v>332</v>
      </c>
      <c r="B134" s="108"/>
      <c r="C134" s="109"/>
      <c r="D134" s="109"/>
    </row>
    <row r="135" spans="1:4" ht="16.5" thickBot="1" x14ac:dyDescent="0.3">
      <c r="A135" s="110" t="s">
        <v>333</v>
      </c>
      <c r="B135" s="111"/>
      <c r="C135" s="112"/>
      <c r="D135" s="113">
        <f>SUM(D125,D129)</f>
        <v>305448</v>
      </c>
    </row>
    <row r="136" spans="1:4" ht="16.5" thickTop="1" x14ac:dyDescent="0.25">
      <c r="A136" s="98"/>
      <c r="C136" s="101"/>
      <c r="D136" s="98"/>
    </row>
    <row r="137" spans="1:4" x14ac:dyDescent="0.25">
      <c r="A137" s="97" t="s">
        <v>334</v>
      </c>
      <c r="C137" s="98"/>
      <c r="D137" s="98"/>
    </row>
    <row r="138" spans="1:4" x14ac:dyDescent="0.25">
      <c r="A138" s="97"/>
      <c r="C138" s="98"/>
      <c r="D138" s="98"/>
    </row>
    <row r="139" spans="1:4" x14ac:dyDescent="0.25">
      <c r="A139" s="99" t="s">
        <v>317</v>
      </c>
      <c r="C139" s="99"/>
      <c r="D139" s="100">
        <f>SUM(C140)</f>
        <v>-149599</v>
      </c>
    </row>
    <row r="140" spans="1:4" x14ac:dyDescent="0.25">
      <c r="A140" s="99" t="s">
        <v>318</v>
      </c>
      <c r="C140" s="100">
        <f>SUM(C141:C141)</f>
        <v>-149599</v>
      </c>
      <c r="D140" s="99"/>
    </row>
    <row r="141" spans="1:4" x14ac:dyDescent="0.25">
      <c r="A141" s="98" t="s">
        <v>319</v>
      </c>
      <c r="C141" s="101">
        <v>-149599</v>
      </c>
      <c r="D141" s="99"/>
    </row>
    <row r="142" spans="1:4" x14ac:dyDescent="0.25">
      <c r="A142" s="98"/>
      <c r="C142" s="101"/>
      <c r="D142" s="99"/>
    </row>
    <row r="143" spans="1:4" x14ac:dyDescent="0.25">
      <c r="A143" s="99" t="s">
        <v>322</v>
      </c>
      <c r="C143" s="99"/>
      <c r="D143" s="100">
        <f>SUM(C144:C145)</f>
        <v>-148862</v>
      </c>
    </row>
    <row r="144" spans="1:4" x14ac:dyDescent="0.25">
      <c r="A144" s="98" t="s">
        <v>319</v>
      </c>
      <c r="C144" s="101">
        <v>-145000</v>
      </c>
      <c r="D144" s="98"/>
    </row>
    <row r="145" spans="1:4" x14ac:dyDescent="0.25">
      <c r="A145" s="98"/>
      <c r="C145" s="101">
        <v>-3862</v>
      </c>
      <c r="D145" s="98"/>
    </row>
    <row r="146" spans="1:4" x14ac:dyDescent="0.25">
      <c r="A146" s="98"/>
      <c r="C146" s="101"/>
      <c r="D146" s="98"/>
    </row>
    <row r="147" spans="1:4" x14ac:dyDescent="0.25">
      <c r="A147" s="98"/>
      <c r="C147" s="101"/>
      <c r="D147" s="98"/>
    </row>
    <row r="148" spans="1:4" x14ac:dyDescent="0.25">
      <c r="A148" s="99" t="s">
        <v>323</v>
      </c>
      <c r="C148" s="99"/>
      <c r="D148" s="100">
        <f>SUM(C151)</f>
        <v>-816</v>
      </c>
    </row>
    <row r="149" spans="1:4" x14ac:dyDescent="0.25">
      <c r="A149" s="99"/>
      <c r="C149" s="99"/>
      <c r="D149" s="100"/>
    </row>
    <row r="150" spans="1:4" x14ac:dyDescent="0.25">
      <c r="A150" s="99" t="s">
        <v>324</v>
      </c>
      <c r="D150" s="99"/>
    </row>
    <row r="151" spans="1:4" x14ac:dyDescent="0.25">
      <c r="A151" s="99" t="s">
        <v>325</v>
      </c>
      <c r="C151" s="100">
        <f>SUM(C152:C152)</f>
        <v>-816</v>
      </c>
      <c r="D151" s="99"/>
    </row>
    <row r="152" spans="1:4" x14ac:dyDescent="0.25">
      <c r="A152" s="98" t="s">
        <v>319</v>
      </c>
      <c r="C152" s="101">
        <v>-816</v>
      </c>
      <c r="D152" s="98"/>
    </row>
    <row r="153" spans="1:4" x14ac:dyDescent="0.25">
      <c r="A153" s="98"/>
      <c r="C153" s="101"/>
      <c r="D153" s="98"/>
    </row>
    <row r="154" spans="1:4" x14ac:dyDescent="0.25">
      <c r="A154" s="99" t="s">
        <v>335</v>
      </c>
      <c r="C154" s="99"/>
      <c r="D154" s="99"/>
    </row>
    <row r="155" spans="1:4" x14ac:dyDescent="0.25">
      <c r="A155" s="99" t="s">
        <v>336</v>
      </c>
      <c r="C155" s="99"/>
      <c r="D155" s="100">
        <f>SUM(C158,C162)</f>
        <v>-61613</v>
      </c>
    </row>
    <row r="156" spans="1:4" x14ac:dyDescent="0.25">
      <c r="A156" s="99"/>
      <c r="C156" s="99"/>
      <c r="D156" s="100"/>
    </row>
    <row r="157" spans="1:4" x14ac:dyDescent="0.25">
      <c r="A157" s="34" t="s">
        <v>337</v>
      </c>
      <c r="D157" s="100"/>
    </row>
    <row r="158" spans="1:4" x14ac:dyDescent="0.25">
      <c r="A158" s="34" t="s">
        <v>338</v>
      </c>
      <c r="C158" s="100">
        <f>SUM(C159:C160)</f>
        <v>-62813</v>
      </c>
      <c r="D158" s="100"/>
    </row>
    <row r="159" spans="1:4" x14ac:dyDescent="0.25">
      <c r="A159" s="98" t="s">
        <v>319</v>
      </c>
      <c r="C159" s="101">
        <v>-77213</v>
      </c>
      <c r="D159" s="100"/>
    </row>
    <row r="160" spans="1:4" x14ac:dyDescent="0.25">
      <c r="A160" s="98"/>
      <c r="C160" s="101">
        <v>14400</v>
      </c>
      <c r="D160" s="98"/>
    </row>
    <row r="161" spans="1:4" x14ac:dyDescent="0.25">
      <c r="A161" s="98"/>
      <c r="C161" s="101"/>
      <c r="D161" s="98"/>
    </row>
    <row r="162" spans="1:4" x14ac:dyDescent="0.25">
      <c r="A162" s="34" t="s">
        <v>339</v>
      </c>
      <c r="C162" s="100">
        <f>SUM(C163:C164)</f>
        <v>1200</v>
      </c>
      <c r="D162" s="100"/>
    </row>
    <row r="163" spans="1:4" x14ac:dyDescent="0.25">
      <c r="A163" s="98" t="s">
        <v>319</v>
      </c>
      <c r="C163" s="101">
        <v>-18670</v>
      </c>
      <c r="D163" s="100"/>
    </row>
    <row r="164" spans="1:4" x14ac:dyDescent="0.25">
      <c r="A164" s="98"/>
      <c r="C164" s="101">
        <v>19870</v>
      </c>
      <c r="D164" s="99"/>
    </row>
    <row r="165" spans="1:4" x14ac:dyDescent="0.25">
      <c r="A165" s="98"/>
      <c r="C165" s="101"/>
      <c r="D165" s="100"/>
    </row>
    <row r="166" spans="1:4" x14ac:dyDescent="0.25">
      <c r="A166" s="99" t="s">
        <v>326</v>
      </c>
      <c r="C166" s="101"/>
      <c r="D166" s="100">
        <f>SUM(C167,C170)</f>
        <v>-42812</v>
      </c>
    </row>
    <row r="167" spans="1:4" x14ac:dyDescent="0.25">
      <c r="A167" s="99" t="s">
        <v>340</v>
      </c>
      <c r="C167" s="100">
        <f>SUM(C168:C168)</f>
        <v>-24712</v>
      </c>
      <c r="D167" s="100"/>
    </row>
    <row r="168" spans="1:4" x14ac:dyDescent="0.25">
      <c r="A168" s="98" t="s">
        <v>319</v>
      </c>
      <c r="C168" s="101">
        <f>-2200-22512</f>
        <v>-24712</v>
      </c>
      <c r="D168" s="99"/>
    </row>
    <row r="169" spans="1:4" x14ac:dyDescent="0.25">
      <c r="A169" s="99"/>
      <c r="C169" s="101"/>
      <c r="D169" s="100"/>
    </row>
    <row r="170" spans="1:4" x14ac:dyDescent="0.25">
      <c r="A170" s="99" t="s">
        <v>327</v>
      </c>
      <c r="C170" s="100">
        <f>SUM(C171:C172)</f>
        <v>-18100</v>
      </c>
      <c r="D170" s="98"/>
    </row>
    <row r="171" spans="1:4" x14ac:dyDescent="0.25">
      <c r="A171" s="98" t="s">
        <v>319</v>
      </c>
      <c r="C171" s="101">
        <v>-11100</v>
      </c>
      <c r="D171" s="98"/>
    </row>
    <row r="172" spans="1:4" x14ac:dyDescent="0.25">
      <c r="A172" s="98"/>
      <c r="C172" s="101">
        <v>-7000</v>
      </c>
      <c r="D172" s="98"/>
    </row>
    <row r="173" spans="1:4" x14ac:dyDescent="0.25">
      <c r="A173" s="98"/>
      <c r="C173" s="101"/>
      <c r="D173" s="98"/>
    </row>
    <row r="174" spans="1:4" ht="16.5" thickBot="1" x14ac:dyDescent="0.3">
      <c r="A174" s="102" t="s">
        <v>341</v>
      </c>
      <c r="B174" s="103"/>
      <c r="C174" s="102"/>
      <c r="D174" s="104">
        <f>SUM(D139,D143,D148,D155,D166)</f>
        <v>-403702</v>
      </c>
    </row>
    <row r="175" spans="1:4" ht="16.5" thickTop="1" x14ac:dyDescent="0.25">
      <c r="A175" s="105"/>
      <c r="B175" s="114"/>
      <c r="C175" s="105"/>
      <c r="D175" s="106"/>
    </row>
    <row r="176" spans="1:4" x14ac:dyDescent="0.25">
      <c r="A176" s="109" t="s">
        <v>342</v>
      </c>
      <c r="B176" s="108"/>
      <c r="C176" s="109"/>
      <c r="D176" s="109"/>
    </row>
    <row r="177" spans="1:4" ht="16.5" thickBot="1" x14ac:dyDescent="0.3">
      <c r="A177" s="112" t="s">
        <v>343</v>
      </c>
      <c r="B177" s="111"/>
      <c r="C177" s="112"/>
      <c r="D177" s="113">
        <f>SUM(D174,D135)</f>
        <v>-98254</v>
      </c>
    </row>
    <row r="178" spans="1:4" ht="16.5" thickTop="1" x14ac:dyDescent="0.25">
      <c r="A178" s="105"/>
      <c r="B178" s="54"/>
      <c r="C178" s="105"/>
      <c r="D178" s="106"/>
    </row>
    <row r="179" spans="1:4" ht="16.5" thickBot="1" x14ac:dyDescent="0.3">
      <c r="A179" s="102" t="s">
        <v>10</v>
      </c>
      <c r="B179" s="103"/>
      <c r="C179" s="102"/>
      <c r="D179" s="104" t="e">
        <f>SUM(D177,D116)</f>
        <v>#REF!</v>
      </c>
    </row>
    <row r="180" spans="1:4" ht="16.5" thickTop="1" x14ac:dyDescent="0.25"/>
    <row r="187" spans="1:4" x14ac:dyDescent="0.25">
      <c r="B187" s="98"/>
      <c r="C187" s="116"/>
      <c r="D187" s="115"/>
    </row>
    <row r="188" spans="1:4" x14ac:dyDescent="0.25">
      <c r="A188" s="98" t="s">
        <v>429</v>
      </c>
      <c r="B188" s="98"/>
      <c r="C188" s="116"/>
      <c r="D188" s="115"/>
    </row>
    <row r="189" spans="1:4" x14ac:dyDescent="0.25">
      <c r="A189" s="98"/>
      <c r="B189" s="98"/>
      <c r="C189" s="116"/>
      <c r="D189" s="115"/>
    </row>
    <row r="190" spans="1:4" x14ac:dyDescent="0.25">
      <c r="A190" s="98"/>
      <c r="B190" s="98"/>
      <c r="C190" s="116"/>
      <c r="D190" s="115"/>
    </row>
    <row r="191" spans="1:4" x14ac:dyDescent="0.25">
      <c r="D191" s="159"/>
    </row>
    <row r="192" spans="1:4" x14ac:dyDescent="0.25">
      <c r="A192" s="98" t="s">
        <v>434</v>
      </c>
      <c r="D192" s="159"/>
    </row>
    <row r="193" spans="1:4" x14ac:dyDescent="0.25">
      <c r="A193" s="46" t="s">
        <v>435</v>
      </c>
      <c r="D193" s="159"/>
    </row>
    <row r="194" spans="1:4" s="48" customFormat="1" x14ac:dyDescent="0.25">
      <c r="A194" s="46"/>
      <c r="B194" s="46"/>
      <c r="D194" s="160"/>
    </row>
    <row r="195" spans="1:4" ht="12" customHeight="1" x14ac:dyDescent="0.25">
      <c r="D195" s="115"/>
    </row>
    <row r="196" spans="1:4" x14ac:dyDescent="0.25">
      <c r="D196" s="115"/>
    </row>
    <row r="197" spans="1:4" x14ac:dyDescent="0.25">
      <c r="A197" s="46" t="s">
        <v>437</v>
      </c>
      <c r="D197" s="115"/>
    </row>
    <row r="198" spans="1:4" x14ac:dyDescent="0.25">
      <c r="A198" s="46" t="s">
        <v>436</v>
      </c>
      <c r="D198" s="115"/>
    </row>
    <row r="199" spans="1:4" x14ac:dyDescent="0.25">
      <c r="D199" s="115"/>
    </row>
    <row r="200" spans="1:4" x14ac:dyDescent="0.25">
      <c r="D200" s="115"/>
    </row>
    <row r="201" spans="1:4" x14ac:dyDescent="0.25">
      <c r="A201" s="46" t="s">
        <v>438</v>
      </c>
      <c r="D201" s="115"/>
    </row>
    <row r="202" spans="1:4" x14ac:dyDescent="0.25">
      <c r="A202" s="46" t="s">
        <v>439</v>
      </c>
      <c r="D202" s="115"/>
    </row>
    <row r="203" spans="1:4" ht="12" customHeight="1" x14ac:dyDescent="0.25">
      <c r="D203" s="115"/>
    </row>
    <row r="204" spans="1:4" ht="12" customHeight="1" x14ac:dyDescent="0.25">
      <c r="D204" s="115"/>
    </row>
    <row r="205" spans="1:4" x14ac:dyDescent="0.25">
      <c r="A205" s="34" t="s">
        <v>215</v>
      </c>
      <c r="C205" s="116"/>
      <c r="D205" s="115"/>
    </row>
    <row r="206" spans="1:4" x14ac:dyDescent="0.25">
      <c r="A206" s="36" t="s">
        <v>216</v>
      </c>
      <c r="B206" s="36"/>
      <c r="C206" s="117"/>
      <c r="D206" s="115"/>
    </row>
    <row r="207" spans="1:4" x14ac:dyDescent="0.25">
      <c r="A207" s="36"/>
      <c r="B207" s="36"/>
      <c r="C207" s="117"/>
      <c r="D207" s="115"/>
    </row>
    <row r="208" spans="1:4" x14ac:dyDescent="0.25">
      <c r="A208" s="46" t="s">
        <v>217</v>
      </c>
      <c r="C208" s="116"/>
      <c r="D208" s="115"/>
    </row>
    <row r="209" spans="1:4" x14ac:dyDescent="0.25">
      <c r="A209" s="34" t="s">
        <v>430</v>
      </c>
      <c r="B209" s="34"/>
      <c r="C209" s="158"/>
      <c r="D209" s="115"/>
    </row>
    <row r="210" spans="1:4" x14ac:dyDescent="0.25">
      <c r="A210" s="36" t="s">
        <v>431</v>
      </c>
      <c r="B210" s="36"/>
      <c r="C210" s="117"/>
      <c r="D210" s="115"/>
    </row>
    <row r="211" spans="1:4" x14ac:dyDescent="0.25">
      <c r="A211" s="36"/>
      <c r="B211" s="36"/>
      <c r="C211" s="117"/>
      <c r="D211" s="115"/>
    </row>
    <row r="212" spans="1:4" x14ac:dyDescent="0.25">
      <c r="A212" s="34" t="s">
        <v>344</v>
      </c>
      <c r="B212" s="118"/>
      <c r="C212" s="119"/>
      <c r="D212" s="115"/>
    </row>
    <row r="213" spans="1:4" x14ac:dyDescent="0.25">
      <c r="A213" s="36" t="s">
        <v>345</v>
      </c>
      <c r="B213" s="120"/>
      <c r="C213" s="121"/>
      <c r="D213" s="115"/>
    </row>
    <row r="214" spans="1:4" x14ac:dyDescent="0.25">
      <c r="C214" s="116"/>
      <c r="D214" s="115"/>
    </row>
    <row r="215" spans="1:4" x14ac:dyDescent="0.25">
      <c r="A215" s="161" t="s">
        <v>432</v>
      </c>
      <c r="C215" s="116"/>
      <c r="D215" s="115"/>
    </row>
    <row r="216" spans="1:4" x14ac:dyDescent="0.25">
      <c r="A216" s="162" t="s">
        <v>433</v>
      </c>
      <c r="C216" s="116"/>
      <c r="D216" s="115"/>
    </row>
    <row r="217" spans="1:4" x14ac:dyDescent="0.25">
      <c r="C217" s="116"/>
      <c r="D217" s="115"/>
    </row>
    <row r="218" spans="1:4" x14ac:dyDescent="0.25">
      <c r="A218" s="34" t="s">
        <v>346</v>
      </c>
      <c r="C218" s="116"/>
      <c r="D218" s="115"/>
    </row>
    <row r="219" spans="1:4" x14ac:dyDescent="0.25">
      <c r="A219" s="36" t="s">
        <v>347</v>
      </c>
      <c r="C219" s="116"/>
      <c r="D219" s="115"/>
    </row>
    <row r="220" spans="1:4" x14ac:dyDescent="0.25">
      <c r="C220" s="116"/>
      <c r="D220" s="115"/>
    </row>
    <row r="221" spans="1:4" x14ac:dyDescent="0.25">
      <c r="A221" s="122" t="s">
        <v>222</v>
      </c>
      <c r="C221" s="116"/>
      <c r="D221" s="115"/>
    </row>
    <row r="222" spans="1:4" s="48" customFormat="1" x14ac:dyDescent="0.25">
      <c r="A222" s="123" t="s">
        <v>348</v>
      </c>
      <c r="B222" s="46"/>
      <c r="C222" s="116"/>
      <c r="D222" s="160"/>
    </row>
    <row r="223" spans="1:4" s="48" customFormat="1" x14ac:dyDescent="0.25">
      <c r="A223" s="36" t="s">
        <v>349</v>
      </c>
      <c r="C223" s="116"/>
      <c r="D223" s="160"/>
    </row>
    <row r="224" spans="1:4" s="48" customFormat="1" x14ac:dyDescent="0.25">
      <c r="C224" s="116"/>
      <c r="D224" s="160"/>
    </row>
    <row r="225" spans="3:4" s="48" customFormat="1" x14ac:dyDescent="0.25">
      <c r="C225" s="116"/>
      <c r="D225" s="160"/>
    </row>
  </sheetData>
  <printOptions horizontalCentered="1"/>
  <pageMargins left="0.70866141732283472" right="0.5118110236220472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G342"/>
  <sheetViews>
    <sheetView topLeftCell="A316" zoomScaleNormal="100" workbookViewId="0">
      <selection activeCell="G338" sqref="G338"/>
    </sheetView>
  </sheetViews>
  <sheetFormatPr defaultColWidth="15.5703125" defaultRowHeight="15.75" x14ac:dyDescent="0.25"/>
  <cols>
    <col min="1" max="1" width="53.42578125" style="1" customWidth="1"/>
    <col min="2" max="3" width="11.28515625" style="2" bestFit="1" customWidth="1"/>
    <col min="4" max="4" width="11" style="2" bestFit="1" customWidth="1"/>
    <col min="5" max="7" width="10.28515625" style="2" bestFit="1" customWidth="1"/>
    <col min="8" max="10" width="16" style="2" bestFit="1" customWidth="1"/>
    <col min="11" max="13" width="12" style="2" bestFit="1" customWidth="1"/>
    <col min="14" max="16" width="14.7109375" style="2" bestFit="1" customWidth="1"/>
    <col min="17" max="19" width="10.85546875" style="2" bestFit="1" customWidth="1"/>
    <col min="20" max="22" width="16.28515625" style="2" bestFit="1" customWidth="1"/>
    <col min="23" max="23" width="12.85546875" style="2" customWidth="1"/>
    <col min="24" max="24" width="12.7109375" style="2" customWidth="1"/>
    <col min="25" max="25" width="13.140625" style="2" customWidth="1"/>
    <col min="26" max="26" width="12.7109375" style="2" bestFit="1" customWidth="1"/>
    <col min="27" max="27" width="13.140625" style="2" customWidth="1"/>
    <col min="28" max="28" width="12.42578125" style="2" customWidth="1"/>
    <col min="29" max="169" width="29.28515625" style="2" customWidth="1"/>
    <col min="170" max="170" width="42.42578125" style="2" customWidth="1"/>
    <col min="171" max="173" width="12.42578125" style="2" customWidth="1"/>
    <col min="174" max="176" width="10.85546875" style="2" customWidth="1"/>
    <col min="177" max="179" width="14.5703125" style="2" bestFit="1" customWidth="1"/>
    <col min="180" max="182" width="11" style="2" customWidth="1"/>
    <col min="183" max="185" width="14.5703125" style="2" customWidth="1"/>
    <col min="186" max="188" width="15.28515625" style="2" customWidth="1"/>
    <col min="189" max="189" width="15.5703125" style="2"/>
    <col min="190" max="190" width="44.5703125" style="2" customWidth="1"/>
    <col min="191" max="191" width="13.85546875" style="2" customWidth="1"/>
    <col min="192" max="192" width="10.85546875" style="2" customWidth="1"/>
    <col min="193" max="193" width="14.5703125" style="2" customWidth="1"/>
    <col min="194" max="194" width="11" style="2" customWidth="1"/>
    <col min="195" max="195" width="10.85546875" style="2" customWidth="1"/>
    <col min="196" max="196" width="14.5703125" style="2" customWidth="1"/>
    <col min="197" max="198" width="15.5703125" style="2" customWidth="1"/>
    <col min="199" max="199" width="17.7109375" style="2" customWidth="1"/>
    <col min="200" max="425" width="29.28515625" style="2" customWidth="1"/>
    <col min="426" max="426" width="42.42578125" style="2" customWidth="1"/>
    <col min="427" max="429" width="12.42578125" style="2" customWidth="1"/>
    <col min="430" max="432" width="10.85546875" style="2" customWidth="1"/>
    <col min="433" max="435" width="14.5703125" style="2" bestFit="1" customWidth="1"/>
    <col min="436" max="438" width="11" style="2" customWidth="1"/>
    <col min="439" max="441" width="14.5703125" style="2" customWidth="1"/>
    <col min="442" max="444" width="15.28515625" style="2" customWidth="1"/>
    <col min="445" max="445" width="15.5703125" style="2"/>
    <col min="446" max="446" width="44.5703125" style="2" customWidth="1"/>
    <col min="447" max="447" width="13.85546875" style="2" customWidth="1"/>
    <col min="448" max="448" width="10.85546875" style="2" customWidth="1"/>
    <col min="449" max="449" width="14.5703125" style="2" customWidth="1"/>
    <col min="450" max="450" width="11" style="2" customWidth="1"/>
    <col min="451" max="451" width="10.85546875" style="2" customWidth="1"/>
    <col min="452" max="452" width="14.5703125" style="2" customWidth="1"/>
    <col min="453" max="454" width="15.5703125" style="2" customWidth="1"/>
    <col min="455" max="455" width="17.7109375" style="2" customWidth="1"/>
    <col min="456" max="681" width="29.28515625" style="2" customWidth="1"/>
    <col min="682" max="682" width="42.42578125" style="2" customWidth="1"/>
    <col min="683" max="685" width="12.42578125" style="2" customWidth="1"/>
    <col min="686" max="688" width="10.85546875" style="2" customWidth="1"/>
    <col min="689" max="691" width="14.5703125" style="2" bestFit="1" customWidth="1"/>
    <col min="692" max="694" width="11" style="2" customWidth="1"/>
    <col min="695" max="697" width="14.5703125" style="2" customWidth="1"/>
    <col min="698" max="700" width="15.28515625" style="2" customWidth="1"/>
    <col min="701" max="701" width="15.5703125" style="2"/>
    <col min="702" max="702" width="44.5703125" style="2" customWidth="1"/>
    <col min="703" max="703" width="13.85546875" style="2" customWidth="1"/>
    <col min="704" max="704" width="10.85546875" style="2" customWidth="1"/>
    <col min="705" max="705" width="14.5703125" style="2" customWidth="1"/>
    <col min="706" max="706" width="11" style="2" customWidth="1"/>
    <col min="707" max="707" width="10.85546875" style="2" customWidth="1"/>
    <col min="708" max="708" width="14.5703125" style="2" customWidth="1"/>
    <col min="709" max="710" width="15.5703125" style="2" customWidth="1"/>
    <col min="711" max="711" width="17.7109375" style="2" customWidth="1"/>
    <col min="712" max="937" width="29.28515625" style="2" customWidth="1"/>
    <col min="938" max="938" width="42.42578125" style="2" customWidth="1"/>
    <col min="939" max="941" width="12.42578125" style="2" customWidth="1"/>
    <col min="942" max="944" width="10.85546875" style="2" customWidth="1"/>
    <col min="945" max="947" width="14.5703125" style="2" bestFit="1" customWidth="1"/>
    <col min="948" max="950" width="11" style="2" customWidth="1"/>
    <col min="951" max="953" width="14.5703125" style="2" customWidth="1"/>
    <col min="954" max="956" width="15.28515625" style="2" customWidth="1"/>
    <col min="957" max="957" width="15.5703125" style="2"/>
    <col min="958" max="958" width="44.5703125" style="2" customWidth="1"/>
    <col min="959" max="959" width="13.85546875" style="2" customWidth="1"/>
    <col min="960" max="960" width="10.85546875" style="2" customWidth="1"/>
    <col min="961" max="961" width="14.5703125" style="2" customWidth="1"/>
    <col min="962" max="962" width="11" style="2" customWidth="1"/>
    <col min="963" max="963" width="10.85546875" style="2" customWidth="1"/>
    <col min="964" max="964" width="14.5703125" style="2" customWidth="1"/>
    <col min="965" max="966" width="15.5703125" style="2" customWidth="1"/>
    <col min="967" max="967" width="17.7109375" style="2" customWidth="1"/>
    <col min="968" max="1193" width="29.28515625" style="2" customWidth="1"/>
    <col min="1194" max="1194" width="42.42578125" style="2" customWidth="1"/>
    <col min="1195" max="1197" width="12.42578125" style="2" customWidth="1"/>
    <col min="1198" max="1200" width="10.85546875" style="2" customWidth="1"/>
    <col min="1201" max="1203" width="14.5703125" style="2" bestFit="1" customWidth="1"/>
    <col min="1204" max="1206" width="11" style="2" customWidth="1"/>
    <col min="1207" max="1209" width="14.5703125" style="2" customWidth="1"/>
    <col min="1210" max="1212" width="15.28515625" style="2" customWidth="1"/>
    <col min="1213" max="1213" width="15.5703125" style="2"/>
    <col min="1214" max="1214" width="44.5703125" style="2" customWidth="1"/>
    <col min="1215" max="1215" width="13.85546875" style="2" customWidth="1"/>
    <col min="1216" max="1216" width="10.85546875" style="2" customWidth="1"/>
    <col min="1217" max="1217" width="14.5703125" style="2" customWidth="1"/>
    <col min="1218" max="1218" width="11" style="2" customWidth="1"/>
    <col min="1219" max="1219" width="10.85546875" style="2" customWidth="1"/>
    <col min="1220" max="1220" width="14.5703125" style="2" customWidth="1"/>
    <col min="1221" max="1222" width="15.5703125" style="2" customWidth="1"/>
    <col min="1223" max="1223" width="17.7109375" style="2" customWidth="1"/>
    <col min="1224" max="1449" width="29.28515625" style="2" customWidth="1"/>
    <col min="1450" max="1450" width="42.42578125" style="2" customWidth="1"/>
    <col min="1451" max="1453" width="12.42578125" style="2" customWidth="1"/>
    <col min="1454" max="1456" width="10.85546875" style="2" customWidth="1"/>
    <col min="1457" max="1459" width="14.5703125" style="2" bestFit="1" customWidth="1"/>
    <col min="1460" max="1462" width="11" style="2" customWidth="1"/>
    <col min="1463" max="1465" width="14.5703125" style="2" customWidth="1"/>
    <col min="1466" max="1468" width="15.28515625" style="2" customWidth="1"/>
    <col min="1469" max="1469" width="15.5703125" style="2"/>
    <col min="1470" max="1470" width="44.5703125" style="2" customWidth="1"/>
    <col min="1471" max="1471" width="13.85546875" style="2" customWidth="1"/>
    <col min="1472" max="1472" width="10.85546875" style="2" customWidth="1"/>
    <col min="1473" max="1473" width="14.5703125" style="2" customWidth="1"/>
    <col min="1474" max="1474" width="11" style="2" customWidth="1"/>
    <col min="1475" max="1475" width="10.85546875" style="2" customWidth="1"/>
    <col min="1476" max="1476" width="14.5703125" style="2" customWidth="1"/>
    <col min="1477" max="1478" width="15.5703125" style="2" customWidth="1"/>
    <col min="1479" max="1479" width="17.7109375" style="2" customWidth="1"/>
    <col min="1480" max="1705" width="29.28515625" style="2" customWidth="1"/>
    <col min="1706" max="1706" width="42.42578125" style="2" customWidth="1"/>
    <col min="1707" max="1709" width="12.42578125" style="2" customWidth="1"/>
    <col min="1710" max="1712" width="10.85546875" style="2" customWidth="1"/>
    <col min="1713" max="1715" width="14.5703125" style="2" bestFit="1" customWidth="1"/>
    <col min="1716" max="1718" width="11" style="2" customWidth="1"/>
    <col min="1719" max="1721" width="14.5703125" style="2" customWidth="1"/>
    <col min="1722" max="1724" width="15.28515625" style="2" customWidth="1"/>
    <col min="1725" max="1725" width="15.5703125" style="2"/>
    <col min="1726" max="1726" width="44.5703125" style="2" customWidth="1"/>
    <col min="1727" max="1727" width="13.85546875" style="2" customWidth="1"/>
    <col min="1728" max="1728" width="10.85546875" style="2" customWidth="1"/>
    <col min="1729" max="1729" width="14.5703125" style="2" customWidth="1"/>
    <col min="1730" max="1730" width="11" style="2" customWidth="1"/>
    <col min="1731" max="1731" width="10.85546875" style="2" customWidth="1"/>
    <col min="1732" max="1732" width="14.5703125" style="2" customWidth="1"/>
    <col min="1733" max="1734" width="15.5703125" style="2" customWidth="1"/>
    <col min="1735" max="1735" width="17.7109375" style="2" customWidth="1"/>
    <col min="1736" max="1961" width="29.28515625" style="2" customWidth="1"/>
    <col min="1962" max="1962" width="42.42578125" style="2" customWidth="1"/>
    <col min="1963" max="1965" width="12.42578125" style="2" customWidth="1"/>
    <col min="1966" max="1968" width="10.85546875" style="2" customWidth="1"/>
    <col min="1969" max="1971" width="14.5703125" style="2" bestFit="1" customWidth="1"/>
    <col min="1972" max="1974" width="11" style="2" customWidth="1"/>
    <col min="1975" max="1977" width="14.5703125" style="2" customWidth="1"/>
    <col min="1978" max="1980" width="15.28515625" style="2" customWidth="1"/>
    <col min="1981" max="1981" width="15.5703125" style="2"/>
    <col min="1982" max="1982" width="44.5703125" style="2" customWidth="1"/>
    <col min="1983" max="1983" width="13.85546875" style="2" customWidth="1"/>
    <col min="1984" max="1984" width="10.85546875" style="2" customWidth="1"/>
    <col min="1985" max="1985" width="14.5703125" style="2" customWidth="1"/>
    <col min="1986" max="1986" width="11" style="2" customWidth="1"/>
    <col min="1987" max="1987" width="10.85546875" style="2" customWidth="1"/>
    <col min="1988" max="1988" width="14.5703125" style="2" customWidth="1"/>
    <col min="1989" max="1990" width="15.5703125" style="2" customWidth="1"/>
    <col min="1991" max="1991" width="17.7109375" style="2" customWidth="1"/>
    <col min="1992" max="2217" width="29.28515625" style="2" customWidth="1"/>
    <col min="2218" max="2218" width="42.42578125" style="2" customWidth="1"/>
    <col min="2219" max="2221" width="12.42578125" style="2" customWidth="1"/>
    <col min="2222" max="2224" width="10.85546875" style="2" customWidth="1"/>
    <col min="2225" max="2227" width="14.5703125" style="2" bestFit="1" customWidth="1"/>
    <col min="2228" max="2230" width="11" style="2" customWidth="1"/>
    <col min="2231" max="2233" width="14.5703125" style="2" customWidth="1"/>
    <col min="2234" max="2236" width="15.28515625" style="2" customWidth="1"/>
    <col min="2237" max="2237" width="15.5703125" style="2"/>
    <col min="2238" max="2238" width="44.5703125" style="2" customWidth="1"/>
    <col min="2239" max="2239" width="13.85546875" style="2" customWidth="1"/>
    <col min="2240" max="2240" width="10.85546875" style="2" customWidth="1"/>
    <col min="2241" max="2241" width="14.5703125" style="2" customWidth="1"/>
    <col min="2242" max="2242" width="11" style="2" customWidth="1"/>
    <col min="2243" max="2243" width="10.85546875" style="2" customWidth="1"/>
    <col min="2244" max="2244" width="14.5703125" style="2" customWidth="1"/>
    <col min="2245" max="2246" width="15.5703125" style="2" customWidth="1"/>
    <col min="2247" max="2247" width="17.7109375" style="2" customWidth="1"/>
    <col min="2248" max="2473" width="29.28515625" style="2" customWidth="1"/>
    <col min="2474" max="2474" width="42.42578125" style="2" customWidth="1"/>
    <col min="2475" max="2477" width="12.42578125" style="2" customWidth="1"/>
    <col min="2478" max="2480" width="10.85546875" style="2" customWidth="1"/>
    <col min="2481" max="2483" width="14.5703125" style="2" bestFit="1" customWidth="1"/>
    <col min="2484" max="2486" width="11" style="2" customWidth="1"/>
    <col min="2487" max="2489" width="14.5703125" style="2" customWidth="1"/>
    <col min="2490" max="2492" width="15.28515625" style="2" customWidth="1"/>
    <col min="2493" max="2493" width="15.5703125" style="2"/>
    <col min="2494" max="2494" width="44.5703125" style="2" customWidth="1"/>
    <col min="2495" max="2495" width="13.85546875" style="2" customWidth="1"/>
    <col min="2496" max="2496" width="10.85546875" style="2" customWidth="1"/>
    <col min="2497" max="2497" width="14.5703125" style="2" customWidth="1"/>
    <col min="2498" max="2498" width="11" style="2" customWidth="1"/>
    <col min="2499" max="2499" width="10.85546875" style="2" customWidth="1"/>
    <col min="2500" max="2500" width="14.5703125" style="2" customWidth="1"/>
    <col min="2501" max="2502" width="15.5703125" style="2" customWidth="1"/>
    <col min="2503" max="2503" width="17.7109375" style="2" customWidth="1"/>
    <col min="2504" max="2729" width="29.28515625" style="2" customWidth="1"/>
    <col min="2730" max="2730" width="42.42578125" style="2" customWidth="1"/>
    <col min="2731" max="2733" width="12.42578125" style="2" customWidth="1"/>
    <col min="2734" max="2736" width="10.85546875" style="2" customWidth="1"/>
    <col min="2737" max="2739" width="14.5703125" style="2" bestFit="1" customWidth="1"/>
    <col min="2740" max="2742" width="11" style="2" customWidth="1"/>
    <col min="2743" max="2745" width="14.5703125" style="2" customWidth="1"/>
    <col min="2746" max="2748" width="15.28515625" style="2" customWidth="1"/>
    <col min="2749" max="2749" width="15.5703125" style="2"/>
    <col min="2750" max="2750" width="44.5703125" style="2" customWidth="1"/>
    <col min="2751" max="2751" width="13.85546875" style="2" customWidth="1"/>
    <col min="2752" max="2752" width="10.85546875" style="2" customWidth="1"/>
    <col min="2753" max="2753" width="14.5703125" style="2" customWidth="1"/>
    <col min="2754" max="2754" width="11" style="2" customWidth="1"/>
    <col min="2755" max="2755" width="10.85546875" style="2" customWidth="1"/>
    <col min="2756" max="2756" width="14.5703125" style="2" customWidth="1"/>
    <col min="2757" max="2758" width="15.5703125" style="2" customWidth="1"/>
    <col min="2759" max="2759" width="17.7109375" style="2" customWidth="1"/>
    <col min="2760" max="2985" width="29.28515625" style="2" customWidth="1"/>
    <col min="2986" max="2986" width="42.42578125" style="2" customWidth="1"/>
    <col min="2987" max="2989" width="12.42578125" style="2" customWidth="1"/>
    <col min="2990" max="2992" width="10.85546875" style="2" customWidth="1"/>
    <col min="2993" max="2995" width="14.5703125" style="2" bestFit="1" customWidth="1"/>
    <col min="2996" max="2998" width="11" style="2" customWidth="1"/>
    <col min="2999" max="3001" width="14.5703125" style="2" customWidth="1"/>
    <col min="3002" max="3004" width="15.28515625" style="2" customWidth="1"/>
    <col min="3005" max="3005" width="15.5703125" style="2"/>
    <col min="3006" max="3006" width="44.5703125" style="2" customWidth="1"/>
    <col min="3007" max="3007" width="13.85546875" style="2" customWidth="1"/>
    <col min="3008" max="3008" width="10.85546875" style="2" customWidth="1"/>
    <col min="3009" max="3009" width="14.5703125" style="2" customWidth="1"/>
    <col min="3010" max="3010" width="11" style="2" customWidth="1"/>
    <col min="3011" max="3011" width="10.85546875" style="2" customWidth="1"/>
    <col min="3012" max="3012" width="14.5703125" style="2" customWidth="1"/>
    <col min="3013" max="3014" width="15.5703125" style="2" customWidth="1"/>
    <col min="3015" max="3015" width="17.7109375" style="2" customWidth="1"/>
    <col min="3016" max="3241" width="29.28515625" style="2" customWidth="1"/>
    <col min="3242" max="3242" width="42.42578125" style="2" customWidth="1"/>
    <col min="3243" max="3245" width="12.42578125" style="2" customWidth="1"/>
    <col min="3246" max="3248" width="10.85546875" style="2" customWidth="1"/>
    <col min="3249" max="3251" width="14.5703125" style="2" bestFit="1" customWidth="1"/>
    <col min="3252" max="3254" width="11" style="2" customWidth="1"/>
    <col min="3255" max="3257" width="14.5703125" style="2" customWidth="1"/>
    <col min="3258" max="3260" width="15.28515625" style="2" customWidth="1"/>
    <col min="3261" max="3261" width="15.5703125" style="2"/>
    <col min="3262" max="3262" width="44.5703125" style="2" customWidth="1"/>
    <col min="3263" max="3263" width="13.85546875" style="2" customWidth="1"/>
    <col min="3264" max="3264" width="10.85546875" style="2" customWidth="1"/>
    <col min="3265" max="3265" width="14.5703125" style="2" customWidth="1"/>
    <col min="3266" max="3266" width="11" style="2" customWidth="1"/>
    <col min="3267" max="3267" width="10.85546875" style="2" customWidth="1"/>
    <col min="3268" max="3268" width="14.5703125" style="2" customWidth="1"/>
    <col min="3269" max="3270" width="15.5703125" style="2" customWidth="1"/>
    <col min="3271" max="3271" width="17.7109375" style="2" customWidth="1"/>
    <col min="3272" max="3497" width="29.28515625" style="2" customWidth="1"/>
    <col min="3498" max="3498" width="42.42578125" style="2" customWidth="1"/>
    <col min="3499" max="3501" width="12.42578125" style="2" customWidth="1"/>
    <col min="3502" max="3504" width="10.85546875" style="2" customWidth="1"/>
    <col min="3505" max="3507" width="14.5703125" style="2" bestFit="1" customWidth="1"/>
    <col min="3508" max="3510" width="11" style="2" customWidth="1"/>
    <col min="3511" max="3513" width="14.5703125" style="2" customWidth="1"/>
    <col min="3514" max="3516" width="15.28515625" style="2" customWidth="1"/>
    <col min="3517" max="3517" width="15.5703125" style="2"/>
    <col min="3518" max="3518" width="44.5703125" style="2" customWidth="1"/>
    <col min="3519" max="3519" width="13.85546875" style="2" customWidth="1"/>
    <col min="3520" max="3520" width="10.85546875" style="2" customWidth="1"/>
    <col min="3521" max="3521" width="14.5703125" style="2" customWidth="1"/>
    <col min="3522" max="3522" width="11" style="2" customWidth="1"/>
    <col min="3523" max="3523" width="10.85546875" style="2" customWidth="1"/>
    <col min="3524" max="3524" width="14.5703125" style="2" customWidth="1"/>
    <col min="3525" max="3526" width="15.5703125" style="2" customWidth="1"/>
    <col min="3527" max="3527" width="17.7109375" style="2" customWidth="1"/>
    <col min="3528" max="3753" width="29.28515625" style="2" customWidth="1"/>
    <col min="3754" max="3754" width="42.42578125" style="2" customWidth="1"/>
    <col min="3755" max="3757" width="12.42578125" style="2" customWidth="1"/>
    <col min="3758" max="3760" width="10.85546875" style="2" customWidth="1"/>
    <col min="3761" max="3763" width="14.5703125" style="2" bestFit="1" customWidth="1"/>
    <col min="3764" max="3766" width="11" style="2" customWidth="1"/>
    <col min="3767" max="3769" width="14.5703125" style="2" customWidth="1"/>
    <col min="3770" max="3772" width="15.28515625" style="2" customWidth="1"/>
    <col min="3773" max="3773" width="15.5703125" style="2"/>
    <col min="3774" max="3774" width="44.5703125" style="2" customWidth="1"/>
    <col min="3775" max="3775" width="13.85546875" style="2" customWidth="1"/>
    <col min="3776" max="3776" width="10.85546875" style="2" customWidth="1"/>
    <col min="3777" max="3777" width="14.5703125" style="2" customWidth="1"/>
    <col min="3778" max="3778" width="11" style="2" customWidth="1"/>
    <col min="3779" max="3779" width="10.85546875" style="2" customWidth="1"/>
    <col min="3780" max="3780" width="14.5703125" style="2" customWidth="1"/>
    <col min="3781" max="3782" width="15.5703125" style="2" customWidth="1"/>
    <col min="3783" max="3783" width="17.7109375" style="2" customWidth="1"/>
    <col min="3784" max="4009" width="29.28515625" style="2" customWidth="1"/>
    <col min="4010" max="4010" width="42.42578125" style="2" customWidth="1"/>
    <col min="4011" max="4013" width="12.42578125" style="2" customWidth="1"/>
    <col min="4014" max="4016" width="10.85546875" style="2" customWidth="1"/>
    <col min="4017" max="4019" width="14.5703125" style="2" bestFit="1" customWidth="1"/>
    <col min="4020" max="4022" width="11" style="2" customWidth="1"/>
    <col min="4023" max="4025" width="14.5703125" style="2" customWidth="1"/>
    <col min="4026" max="4028" width="15.28515625" style="2" customWidth="1"/>
    <col min="4029" max="4029" width="15.5703125" style="2"/>
    <col min="4030" max="4030" width="44.5703125" style="2" customWidth="1"/>
    <col min="4031" max="4031" width="13.85546875" style="2" customWidth="1"/>
    <col min="4032" max="4032" width="10.85546875" style="2" customWidth="1"/>
    <col min="4033" max="4033" width="14.5703125" style="2" customWidth="1"/>
    <col min="4034" max="4034" width="11" style="2" customWidth="1"/>
    <col min="4035" max="4035" width="10.85546875" style="2" customWidth="1"/>
    <col min="4036" max="4036" width="14.5703125" style="2" customWidth="1"/>
    <col min="4037" max="4038" width="15.5703125" style="2" customWidth="1"/>
    <col min="4039" max="4039" width="17.7109375" style="2" customWidth="1"/>
    <col min="4040" max="4265" width="29.28515625" style="2" customWidth="1"/>
    <col min="4266" max="4266" width="42.42578125" style="2" customWidth="1"/>
    <col min="4267" max="4269" width="12.42578125" style="2" customWidth="1"/>
    <col min="4270" max="4272" width="10.85546875" style="2" customWidth="1"/>
    <col min="4273" max="4275" width="14.5703125" style="2" bestFit="1" customWidth="1"/>
    <col min="4276" max="4278" width="11" style="2" customWidth="1"/>
    <col min="4279" max="4281" width="14.5703125" style="2" customWidth="1"/>
    <col min="4282" max="4284" width="15.28515625" style="2" customWidth="1"/>
    <col min="4285" max="4285" width="15.5703125" style="2"/>
    <col min="4286" max="4286" width="44.5703125" style="2" customWidth="1"/>
    <col min="4287" max="4287" width="13.85546875" style="2" customWidth="1"/>
    <col min="4288" max="4288" width="10.85546875" style="2" customWidth="1"/>
    <col min="4289" max="4289" width="14.5703125" style="2" customWidth="1"/>
    <col min="4290" max="4290" width="11" style="2" customWidth="1"/>
    <col min="4291" max="4291" width="10.85546875" style="2" customWidth="1"/>
    <col min="4292" max="4292" width="14.5703125" style="2" customWidth="1"/>
    <col min="4293" max="4294" width="15.5703125" style="2" customWidth="1"/>
    <col min="4295" max="4295" width="17.7109375" style="2" customWidth="1"/>
    <col min="4296" max="4521" width="29.28515625" style="2" customWidth="1"/>
    <col min="4522" max="4522" width="42.42578125" style="2" customWidth="1"/>
    <col min="4523" max="4525" width="12.42578125" style="2" customWidth="1"/>
    <col min="4526" max="4528" width="10.85546875" style="2" customWidth="1"/>
    <col min="4529" max="4531" width="14.5703125" style="2" bestFit="1" customWidth="1"/>
    <col min="4532" max="4534" width="11" style="2" customWidth="1"/>
    <col min="4535" max="4537" width="14.5703125" style="2" customWidth="1"/>
    <col min="4538" max="4540" width="15.28515625" style="2" customWidth="1"/>
    <col min="4541" max="4541" width="15.5703125" style="2"/>
    <col min="4542" max="4542" width="44.5703125" style="2" customWidth="1"/>
    <col min="4543" max="4543" width="13.85546875" style="2" customWidth="1"/>
    <col min="4544" max="4544" width="10.85546875" style="2" customWidth="1"/>
    <col min="4545" max="4545" width="14.5703125" style="2" customWidth="1"/>
    <col min="4546" max="4546" width="11" style="2" customWidth="1"/>
    <col min="4547" max="4547" width="10.85546875" style="2" customWidth="1"/>
    <col min="4548" max="4548" width="14.5703125" style="2" customWidth="1"/>
    <col min="4549" max="4550" width="15.5703125" style="2" customWidth="1"/>
    <col min="4551" max="4551" width="17.7109375" style="2" customWidth="1"/>
    <col min="4552" max="4777" width="29.28515625" style="2" customWidth="1"/>
    <col min="4778" max="4778" width="42.42578125" style="2" customWidth="1"/>
    <col min="4779" max="4781" width="12.42578125" style="2" customWidth="1"/>
    <col min="4782" max="4784" width="10.85546875" style="2" customWidth="1"/>
    <col min="4785" max="4787" width="14.5703125" style="2" bestFit="1" customWidth="1"/>
    <col min="4788" max="4790" width="11" style="2" customWidth="1"/>
    <col min="4791" max="4793" width="14.5703125" style="2" customWidth="1"/>
    <col min="4794" max="4796" width="15.28515625" style="2" customWidth="1"/>
    <col min="4797" max="4797" width="15.5703125" style="2"/>
    <col min="4798" max="4798" width="44.5703125" style="2" customWidth="1"/>
    <col min="4799" max="4799" width="13.85546875" style="2" customWidth="1"/>
    <col min="4800" max="4800" width="10.85546875" style="2" customWidth="1"/>
    <col min="4801" max="4801" width="14.5703125" style="2" customWidth="1"/>
    <col min="4802" max="4802" width="11" style="2" customWidth="1"/>
    <col min="4803" max="4803" width="10.85546875" style="2" customWidth="1"/>
    <col min="4804" max="4804" width="14.5703125" style="2" customWidth="1"/>
    <col min="4805" max="4806" width="15.5703125" style="2" customWidth="1"/>
    <col min="4807" max="4807" width="17.7109375" style="2" customWidth="1"/>
    <col min="4808" max="5033" width="29.28515625" style="2" customWidth="1"/>
    <col min="5034" max="5034" width="42.42578125" style="2" customWidth="1"/>
    <col min="5035" max="5037" width="12.42578125" style="2" customWidth="1"/>
    <col min="5038" max="5040" width="10.85546875" style="2" customWidth="1"/>
    <col min="5041" max="5043" width="14.5703125" style="2" bestFit="1" customWidth="1"/>
    <col min="5044" max="5046" width="11" style="2" customWidth="1"/>
    <col min="5047" max="5049" width="14.5703125" style="2" customWidth="1"/>
    <col min="5050" max="5052" width="15.28515625" style="2" customWidth="1"/>
    <col min="5053" max="5053" width="15.5703125" style="2"/>
    <col min="5054" max="5054" width="44.5703125" style="2" customWidth="1"/>
    <col min="5055" max="5055" width="13.85546875" style="2" customWidth="1"/>
    <col min="5056" max="5056" width="10.85546875" style="2" customWidth="1"/>
    <col min="5057" max="5057" width="14.5703125" style="2" customWidth="1"/>
    <col min="5058" max="5058" width="11" style="2" customWidth="1"/>
    <col min="5059" max="5059" width="10.85546875" style="2" customWidth="1"/>
    <col min="5060" max="5060" width="14.5703125" style="2" customWidth="1"/>
    <col min="5061" max="5062" width="15.5703125" style="2" customWidth="1"/>
    <col min="5063" max="5063" width="17.7109375" style="2" customWidth="1"/>
    <col min="5064" max="5289" width="29.28515625" style="2" customWidth="1"/>
    <col min="5290" max="5290" width="42.42578125" style="2" customWidth="1"/>
    <col min="5291" max="5293" width="12.42578125" style="2" customWidth="1"/>
    <col min="5294" max="5296" width="10.85546875" style="2" customWidth="1"/>
    <col min="5297" max="5299" width="14.5703125" style="2" bestFit="1" customWidth="1"/>
    <col min="5300" max="5302" width="11" style="2" customWidth="1"/>
    <col min="5303" max="5305" width="14.5703125" style="2" customWidth="1"/>
    <col min="5306" max="5308" width="15.28515625" style="2" customWidth="1"/>
    <col min="5309" max="5309" width="15.5703125" style="2"/>
    <col min="5310" max="5310" width="44.5703125" style="2" customWidth="1"/>
    <col min="5311" max="5311" width="13.85546875" style="2" customWidth="1"/>
    <col min="5312" max="5312" width="10.85546875" style="2" customWidth="1"/>
    <col min="5313" max="5313" width="14.5703125" style="2" customWidth="1"/>
    <col min="5314" max="5314" width="11" style="2" customWidth="1"/>
    <col min="5315" max="5315" width="10.85546875" style="2" customWidth="1"/>
    <col min="5316" max="5316" width="14.5703125" style="2" customWidth="1"/>
    <col min="5317" max="5318" width="15.5703125" style="2" customWidth="1"/>
    <col min="5319" max="5319" width="17.7109375" style="2" customWidth="1"/>
    <col min="5320" max="5545" width="29.28515625" style="2" customWidth="1"/>
    <col min="5546" max="5546" width="42.42578125" style="2" customWidth="1"/>
    <col min="5547" max="5549" width="12.42578125" style="2" customWidth="1"/>
    <col min="5550" max="5552" width="10.85546875" style="2" customWidth="1"/>
    <col min="5553" max="5555" width="14.5703125" style="2" bestFit="1" customWidth="1"/>
    <col min="5556" max="5558" width="11" style="2" customWidth="1"/>
    <col min="5559" max="5561" width="14.5703125" style="2" customWidth="1"/>
    <col min="5562" max="5564" width="15.28515625" style="2" customWidth="1"/>
    <col min="5565" max="5565" width="15.5703125" style="2"/>
    <col min="5566" max="5566" width="44.5703125" style="2" customWidth="1"/>
    <col min="5567" max="5567" width="13.85546875" style="2" customWidth="1"/>
    <col min="5568" max="5568" width="10.85546875" style="2" customWidth="1"/>
    <col min="5569" max="5569" width="14.5703125" style="2" customWidth="1"/>
    <col min="5570" max="5570" width="11" style="2" customWidth="1"/>
    <col min="5571" max="5571" width="10.85546875" style="2" customWidth="1"/>
    <col min="5572" max="5572" width="14.5703125" style="2" customWidth="1"/>
    <col min="5573" max="5574" width="15.5703125" style="2" customWidth="1"/>
    <col min="5575" max="5575" width="17.7109375" style="2" customWidth="1"/>
    <col min="5576" max="5801" width="29.28515625" style="2" customWidth="1"/>
    <col min="5802" max="5802" width="42.42578125" style="2" customWidth="1"/>
    <col min="5803" max="5805" width="12.42578125" style="2" customWidth="1"/>
    <col min="5806" max="5808" width="10.85546875" style="2" customWidth="1"/>
    <col min="5809" max="5811" width="14.5703125" style="2" bestFit="1" customWidth="1"/>
    <col min="5812" max="5814" width="11" style="2" customWidth="1"/>
    <col min="5815" max="5817" width="14.5703125" style="2" customWidth="1"/>
    <col min="5818" max="5820" width="15.28515625" style="2" customWidth="1"/>
    <col min="5821" max="5821" width="15.5703125" style="2"/>
    <col min="5822" max="5822" width="44.5703125" style="2" customWidth="1"/>
    <col min="5823" max="5823" width="13.85546875" style="2" customWidth="1"/>
    <col min="5824" max="5824" width="10.85546875" style="2" customWidth="1"/>
    <col min="5825" max="5825" width="14.5703125" style="2" customWidth="1"/>
    <col min="5826" max="5826" width="11" style="2" customWidth="1"/>
    <col min="5827" max="5827" width="10.85546875" style="2" customWidth="1"/>
    <col min="5828" max="5828" width="14.5703125" style="2" customWidth="1"/>
    <col min="5829" max="5830" width="15.5703125" style="2" customWidth="1"/>
    <col min="5831" max="5831" width="17.7109375" style="2" customWidth="1"/>
    <col min="5832" max="6057" width="29.28515625" style="2" customWidth="1"/>
    <col min="6058" max="6058" width="42.42578125" style="2" customWidth="1"/>
    <col min="6059" max="6061" width="12.42578125" style="2" customWidth="1"/>
    <col min="6062" max="6064" width="10.85546875" style="2" customWidth="1"/>
    <col min="6065" max="6067" width="14.5703125" style="2" bestFit="1" customWidth="1"/>
    <col min="6068" max="6070" width="11" style="2" customWidth="1"/>
    <col min="6071" max="6073" width="14.5703125" style="2" customWidth="1"/>
    <col min="6074" max="6076" width="15.28515625" style="2" customWidth="1"/>
    <col min="6077" max="6077" width="15.5703125" style="2"/>
    <col min="6078" max="6078" width="44.5703125" style="2" customWidth="1"/>
    <col min="6079" max="6079" width="13.85546875" style="2" customWidth="1"/>
    <col min="6080" max="6080" width="10.85546875" style="2" customWidth="1"/>
    <col min="6081" max="6081" width="14.5703125" style="2" customWidth="1"/>
    <col min="6082" max="6082" width="11" style="2" customWidth="1"/>
    <col min="6083" max="6083" width="10.85546875" style="2" customWidth="1"/>
    <col min="6084" max="6084" width="14.5703125" style="2" customWidth="1"/>
    <col min="6085" max="6086" width="15.5703125" style="2" customWidth="1"/>
    <col min="6087" max="6087" width="17.7109375" style="2" customWidth="1"/>
    <col min="6088" max="6313" width="29.28515625" style="2" customWidth="1"/>
    <col min="6314" max="6314" width="42.42578125" style="2" customWidth="1"/>
    <col min="6315" max="6317" width="12.42578125" style="2" customWidth="1"/>
    <col min="6318" max="6320" width="10.85546875" style="2" customWidth="1"/>
    <col min="6321" max="6323" width="14.5703125" style="2" bestFit="1" customWidth="1"/>
    <col min="6324" max="6326" width="11" style="2" customWidth="1"/>
    <col min="6327" max="6329" width="14.5703125" style="2" customWidth="1"/>
    <col min="6330" max="6332" width="15.28515625" style="2" customWidth="1"/>
    <col min="6333" max="6333" width="15.5703125" style="2"/>
    <col min="6334" max="6334" width="44.5703125" style="2" customWidth="1"/>
    <col min="6335" max="6335" width="13.85546875" style="2" customWidth="1"/>
    <col min="6336" max="6336" width="10.85546875" style="2" customWidth="1"/>
    <col min="6337" max="6337" width="14.5703125" style="2" customWidth="1"/>
    <col min="6338" max="6338" width="11" style="2" customWidth="1"/>
    <col min="6339" max="6339" width="10.85546875" style="2" customWidth="1"/>
    <col min="6340" max="6340" width="14.5703125" style="2" customWidth="1"/>
    <col min="6341" max="6342" width="15.5703125" style="2" customWidth="1"/>
    <col min="6343" max="6343" width="17.7109375" style="2" customWidth="1"/>
    <col min="6344" max="6569" width="29.28515625" style="2" customWidth="1"/>
    <col min="6570" max="6570" width="42.42578125" style="2" customWidth="1"/>
    <col min="6571" max="6573" width="12.42578125" style="2" customWidth="1"/>
    <col min="6574" max="6576" width="10.85546875" style="2" customWidth="1"/>
    <col min="6577" max="6579" width="14.5703125" style="2" bestFit="1" customWidth="1"/>
    <col min="6580" max="6582" width="11" style="2" customWidth="1"/>
    <col min="6583" max="6585" width="14.5703125" style="2" customWidth="1"/>
    <col min="6586" max="6588" width="15.28515625" style="2" customWidth="1"/>
    <col min="6589" max="6589" width="15.5703125" style="2"/>
    <col min="6590" max="6590" width="44.5703125" style="2" customWidth="1"/>
    <col min="6591" max="6591" width="13.85546875" style="2" customWidth="1"/>
    <col min="6592" max="6592" width="10.85546875" style="2" customWidth="1"/>
    <col min="6593" max="6593" width="14.5703125" style="2" customWidth="1"/>
    <col min="6594" max="6594" width="11" style="2" customWidth="1"/>
    <col min="6595" max="6595" width="10.85546875" style="2" customWidth="1"/>
    <col min="6596" max="6596" width="14.5703125" style="2" customWidth="1"/>
    <col min="6597" max="6598" width="15.5703125" style="2" customWidth="1"/>
    <col min="6599" max="6599" width="17.7109375" style="2" customWidth="1"/>
    <col min="6600" max="6825" width="29.28515625" style="2" customWidth="1"/>
    <col min="6826" max="6826" width="42.42578125" style="2" customWidth="1"/>
    <col min="6827" max="6829" width="12.42578125" style="2" customWidth="1"/>
    <col min="6830" max="6832" width="10.85546875" style="2" customWidth="1"/>
    <col min="6833" max="6835" width="14.5703125" style="2" bestFit="1" customWidth="1"/>
    <col min="6836" max="6838" width="11" style="2" customWidth="1"/>
    <col min="6839" max="6841" width="14.5703125" style="2" customWidth="1"/>
    <col min="6842" max="6844" width="15.28515625" style="2" customWidth="1"/>
    <col min="6845" max="6845" width="15.5703125" style="2"/>
    <col min="6846" max="6846" width="44.5703125" style="2" customWidth="1"/>
    <col min="6847" max="6847" width="13.85546875" style="2" customWidth="1"/>
    <col min="6848" max="6848" width="10.85546875" style="2" customWidth="1"/>
    <col min="6849" max="6849" width="14.5703125" style="2" customWidth="1"/>
    <col min="6850" max="6850" width="11" style="2" customWidth="1"/>
    <col min="6851" max="6851" width="10.85546875" style="2" customWidth="1"/>
    <col min="6852" max="6852" width="14.5703125" style="2" customWidth="1"/>
    <col min="6853" max="6854" width="15.5703125" style="2" customWidth="1"/>
    <col min="6855" max="6855" width="17.7109375" style="2" customWidth="1"/>
    <col min="6856" max="7081" width="29.28515625" style="2" customWidth="1"/>
    <col min="7082" max="7082" width="42.42578125" style="2" customWidth="1"/>
    <col min="7083" max="7085" width="12.42578125" style="2" customWidth="1"/>
    <col min="7086" max="7088" width="10.85546875" style="2" customWidth="1"/>
    <col min="7089" max="7091" width="14.5703125" style="2" bestFit="1" customWidth="1"/>
    <col min="7092" max="7094" width="11" style="2" customWidth="1"/>
    <col min="7095" max="7097" width="14.5703125" style="2" customWidth="1"/>
    <col min="7098" max="7100" width="15.28515625" style="2" customWidth="1"/>
    <col min="7101" max="7101" width="15.5703125" style="2"/>
    <col min="7102" max="7102" width="44.5703125" style="2" customWidth="1"/>
    <col min="7103" max="7103" width="13.85546875" style="2" customWidth="1"/>
    <col min="7104" max="7104" width="10.85546875" style="2" customWidth="1"/>
    <col min="7105" max="7105" width="14.5703125" style="2" customWidth="1"/>
    <col min="7106" max="7106" width="11" style="2" customWidth="1"/>
    <col min="7107" max="7107" width="10.85546875" style="2" customWidth="1"/>
    <col min="7108" max="7108" width="14.5703125" style="2" customWidth="1"/>
    <col min="7109" max="7110" width="15.5703125" style="2" customWidth="1"/>
    <col min="7111" max="7111" width="17.7109375" style="2" customWidth="1"/>
    <col min="7112" max="7337" width="29.28515625" style="2" customWidth="1"/>
    <col min="7338" max="7338" width="42.42578125" style="2" customWidth="1"/>
    <col min="7339" max="7341" width="12.42578125" style="2" customWidth="1"/>
    <col min="7342" max="7344" width="10.85546875" style="2" customWidth="1"/>
    <col min="7345" max="7347" width="14.5703125" style="2" bestFit="1" customWidth="1"/>
    <col min="7348" max="7350" width="11" style="2" customWidth="1"/>
    <col min="7351" max="7353" width="14.5703125" style="2" customWidth="1"/>
    <col min="7354" max="7356" width="15.28515625" style="2" customWidth="1"/>
    <col min="7357" max="7357" width="15.5703125" style="2"/>
    <col min="7358" max="7358" width="44.5703125" style="2" customWidth="1"/>
    <col min="7359" max="7359" width="13.85546875" style="2" customWidth="1"/>
    <col min="7360" max="7360" width="10.85546875" style="2" customWidth="1"/>
    <col min="7361" max="7361" width="14.5703125" style="2" customWidth="1"/>
    <col min="7362" max="7362" width="11" style="2" customWidth="1"/>
    <col min="7363" max="7363" width="10.85546875" style="2" customWidth="1"/>
    <col min="7364" max="7364" width="14.5703125" style="2" customWidth="1"/>
    <col min="7365" max="7366" width="15.5703125" style="2" customWidth="1"/>
    <col min="7367" max="7367" width="17.7109375" style="2" customWidth="1"/>
    <col min="7368" max="7593" width="29.28515625" style="2" customWidth="1"/>
    <col min="7594" max="7594" width="42.42578125" style="2" customWidth="1"/>
    <col min="7595" max="7597" width="12.42578125" style="2" customWidth="1"/>
    <col min="7598" max="7600" width="10.85546875" style="2" customWidth="1"/>
    <col min="7601" max="7603" width="14.5703125" style="2" bestFit="1" customWidth="1"/>
    <col min="7604" max="7606" width="11" style="2" customWidth="1"/>
    <col min="7607" max="7609" width="14.5703125" style="2" customWidth="1"/>
    <col min="7610" max="7612" width="15.28515625" style="2" customWidth="1"/>
    <col min="7613" max="7613" width="15.5703125" style="2"/>
    <col min="7614" max="7614" width="44.5703125" style="2" customWidth="1"/>
    <col min="7615" max="7615" width="13.85546875" style="2" customWidth="1"/>
    <col min="7616" max="7616" width="10.85546875" style="2" customWidth="1"/>
    <col min="7617" max="7617" width="14.5703125" style="2" customWidth="1"/>
    <col min="7618" max="7618" width="11" style="2" customWidth="1"/>
    <col min="7619" max="7619" width="10.85546875" style="2" customWidth="1"/>
    <col min="7620" max="7620" width="14.5703125" style="2" customWidth="1"/>
    <col min="7621" max="7622" width="15.5703125" style="2" customWidth="1"/>
    <col min="7623" max="7623" width="17.7109375" style="2" customWidth="1"/>
    <col min="7624" max="7849" width="29.28515625" style="2" customWidth="1"/>
    <col min="7850" max="7850" width="42.42578125" style="2" customWidth="1"/>
    <col min="7851" max="7853" width="12.42578125" style="2" customWidth="1"/>
    <col min="7854" max="7856" width="10.85546875" style="2" customWidth="1"/>
    <col min="7857" max="7859" width="14.5703125" style="2" bestFit="1" customWidth="1"/>
    <col min="7860" max="7862" width="11" style="2" customWidth="1"/>
    <col min="7863" max="7865" width="14.5703125" style="2" customWidth="1"/>
    <col min="7866" max="7868" width="15.28515625" style="2" customWidth="1"/>
    <col min="7869" max="7869" width="15.5703125" style="2"/>
    <col min="7870" max="7870" width="44.5703125" style="2" customWidth="1"/>
    <col min="7871" max="7871" width="13.85546875" style="2" customWidth="1"/>
    <col min="7872" max="7872" width="10.85546875" style="2" customWidth="1"/>
    <col min="7873" max="7873" width="14.5703125" style="2" customWidth="1"/>
    <col min="7874" max="7874" width="11" style="2" customWidth="1"/>
    <col min="7875" max="7875" width="10.85546875" style="2" customWidth="1"/>
    <col min="7876" max="7876" width="14.5703125" style="2" customWidth="1"/>
    <col min="7877" max="7878" width="15.5703125" style="2" customWidth="1"/>
    <col min="7879" max="7879" width="17.7109375" style="2" customWidth="1"/>
    <col min="7880" max="8105" width="29.28515625" style="2" customWidth="1"/>
    <col min="8106" max="8106" width="42.42578125" style="2" customWidth="1"/>
    <col min="8107" max="8109" width="12.42578125" style="2" customWidth="1"/>
    <col min="8110" max="8112" width="10.85546875" style="2" customWidth="1"/>
    <col min="8113" max="8115" width="14.5703125" style="2" bestFit="1" customWidth="1"/>
    <col min="8116" max="8118" width="11" style="2" customWidth="1"/>
    <col min="8119" max="8121" width="14.5703125" style="2" customWidth="1"/>
    <col min="8122" max="8124" width="15.28515625" style="2" customWidth="1"/>
    <col min="8125" max="8125" width="15.5703125" style="2"/>
    <col min="8126" max="8126" width="44.5703125" style="2" customWidth="1"/>
    <col min="8127" max="8127" width="13.85546875" style="2" customWidth="1"/>
    <col min="8128" max="8128" width="10.85546875" style="2" customWidth="1"/>
    <col min="8129" max="8129" width="14.5703125" style="2" customWidth="1"/>
    <col min="8130" max="8130" width="11" style="2" customWidth="1"/>
    <col min="8131" max="8131" width="10.85546875" style="2" customWidth="1"/>
    <col min="8132" max="8132" width="14.5703125" style="2" customWidth="1"/>
    <col min="8133" max="8134" width="15.5703125" style="2" customWidth="1"/>
    <col min="8135" max="8135" width="17.7109375" style="2" customWidth="1"/>
    <col min="8136" max="8361" width="29.28515625" style="2" customWidth="1"/>
    <col min="8362" max="8362" width="42.42578125" style="2" customWidth="1"/>
    <col min="8363" max="8365" width="12.42578125" style="2" customWidth="1"/>
    <col min="8366" max="8368" width="10.85546875" style="2" customWidth="1"/>
    <col min="8369" max="8371" width="14.5703125" style="2" bestFit="1" customWidth="1"/>
    <col min="8372" max="8374" width="11" style="2" customWidth="1"/>
    <col min="8375" max="8377" width="14.5703125" style="2" customWidth="1"/>
    <col min="8378" max="8380" width="15.28515625" style="2" customWidth="1"/>
    <col min="8381" max="8381" width="15.5703125" style="2"/>
    <col min="8382" max="8382" width="44.5703125" style="2" customWidth="1"/>
    <col min="8383" max="8383" width="13.85546875" style="2" customWidth="1"/>
    <col min="8384" max="8384" width="10.85546875" style="2" customWidth="1"/>
    <col min="8385" max="8385" width="14.5703125" style="2" customWidth="1"/>
    <col min="8386" max="8386" width="11" style="2" customWidth="1"/>
    <col min="8387" max="8387" width="10.85546875" style="2" customWidth="1"/>
    <col min="8388" max="8388" width="14.5703125" style="2" customWidth="1"/>
    <col min="8389" max="8390" width="15.5703125" style="2" customWidth="1"/>
    <col min="8391" max="8391" width="17.7109375" style="2" customWidth="1"/>
    <col min="8392" max="8617" width="29.28515625" style="2" customWidth="1"/>
    <col min="8618" max="8618" width="42.42578125" style="2" customWidth="1"/>
    <col min="8619" max="8621" width="12.42578125" style="2" customWidth="1"/>
    <col min="8622" max="8624" width="10.85546875" style="2" customWidth="1"/>
    <col min="8625" max="8627" width="14.5703125" style="2" bestFit="1" customWidth="1"/>
    <col min="8628" max="8630" width="11" style="2" customWidth="1"/>
    <col min="8631" max="8633" width="14.5703125" style="2" customWidth="1"/>
    <col min="8634" max="8636" width="15.28515625" style="2" customWidth="1"/>
    <col min="8637" max="8637" width="15.5703125" style="2"/>
    <col min="8638" max="8638" width="44.5703125" style="2" customWidth="1"/>
    <col min="8639" max="8639" width="13.85546875" style="2" customWidth="1"/>
    <col min="8640" max="8640" width="10.85546875" style="2" customWidth="1"/>
    <col min="8641" max="8641" width="14.5703125" style="2" customWidth="1"/>
    <col min="8642" max="8642" width="11" style="2" customWidth="1"/>
    <col min="8643" max="8643" width="10.85546875" style="2" customWidth="1"/>
    <col min="8644" max="8644" width="14.5703125" style="2" customWidth="1"/>
    <col min="8645" max="8646" width="15.5703125" style="2" customWidth="1"/>
    <col min="8647" max="8647" width="17.7109375" style="2" customWidth="1"/>
    <col min="8648" max="8873" width="29.28515625" style="2" customWidth="1"/>
    <col min="8874" max="8874" width="42.42578125" style="2" customWidth="1"/>
    <col min="8875" max="8877" width="12.42578125" style="2" customWidth="1"/>
    <col min="8878" max="8880" width="10.85546875" style="2" customWidth="1"/>
    <col min="8881" max="8883" width="14.5703125" style="2" bestFit="1" customWidth="1"/>
    <col min="8884" max="8886" width="11" style="2" customWidth="1"/>
    <col min="8887" max="8889" width="14.5703125" style="2" customWidth="1"/>
    <col min="8890" max="8892" width="15.28515625" style="2" customWidth="1"/>
    <col min="8893" max="8893" width="15.5703125" style="2"/>
    <col min="8894" max="8894" width="44.5703125" style="2" customWidth="1"/>
    <col min="8895" max="8895" width="13.85546875" style="2" customWidth="1"/>
    <col min="8896" max="8896" width="10.85546875" style="2" customWidth="1"/>
    <col min="8897" max="8897" width="14.5703125" style="2" customWidth="1"/>
    <col min="8898" max="8898" width="11" style="2" customWidth="1"/>
    <col min="8899" max="8899" width="10.85546875" style="2" customWidth="1"/>
    <col min="8900" max="8900" width="14.5703125" style="2" customWidth="1"/>
    <col min="8901" max="8902" width="15.5703125" style="2" customWidth="1"/>
    <col min="8903" max="8903" width="17.7109375" style="2" customWidth="1"/>
    <col min="8904" max="9129" width="29.28515625" style="2" customWidth="1"/>
    <col min="9130" max="9130" width="42.42578125" style="2" customWidth="1"/>
    <col min="9131" max="9133" width="12.42578125" style="2" customWidth="1"/>
    <col min="9134" max="9136" width="10.85546875" style="2" customWidth="1"/>
    <col min="9137" max="9139" width="14.5703125" style="2" bestFit="1" customWidth="1"/>
    <col min="9140" max="9142" width="11" style="2" customWidth="1"/>
    <col min="9143" max="9145" width="14.5703125" style="2" customWidth="1"/>
    <col min="9146" max="9148" width="15.28515625" style="2" customWidth="1"/>
    <col min="9149" max="9149" width="15.5703125" style="2"/>
    <col min="9150" max="9150" width="44.5703125" style="2" customWidth="1"/>
    <col min="9151" max="9151" width="13.85546875" style="2" customWidth="1"/>
    <col min="9152" max="9152" width="10.85546875" style="2" customWidth="1"/>
    <col min="9153" max="9153" width="14.5703125" style="2" customWidth="1"/>
    <col min="9154" max="9154" width="11" style="2" customWidth="1"/>
    <col min="9155" max="9155" width="10.85546875" style="2" customWidth="1"/>
    <col min="9156" max="9156" width="14.5703125" style="2" customWidth="1"/>
    <col min="9157" max="9158" width="15.5703125" style="2" customWidth="1"/>
    <col min="9159" max="9159" width="17.7109375" style="2" customWidth="1"/>
    <col min="9160" max="9385" width="29.28515625" style="2" customWidth="1"/>
    <col min="9386" max="9386" width="42.42578125" style="2" customWidth="1"/>
    <col min="9387" max="9389" width="12.42578125" style="2" customWidth="1"/>
    <col min="9390" max="9392" width="10.85546875" style="2" customWidth="1"/>
    <col min="9393" max="9395" width="14.5703125" style="2" bestFit="1" customWidth="1"/>
    <col min="9396" max="9398" width="11" style="2" customWidth="1"/>
    <col min="9399" max="9401" width="14.5703125" style="2" customWidth="1"/>
    <col min="9402" max="9404" width="15.28515625" style="2" customWidth="1"/>
    <col min="9405" max="9405" width="15.5703125" style="2"/>
    <col min="9406" max="9406" width="44.5703125" style="2" customWidth="1"/>
    <col min="9407" max="9407" width="13.85546875" style="2" customWidth="1"/>
    <col min="9408" max="9408" width="10.85546875" style="2" customWidth="1"/>
    <col min="9409" max="9409" width="14.5703125" style="2" customWidth="1"/>
    <col min="9410" max="9410" width="11" style="2" customWidth="1"/>
    <col min="9411" max="9411" width="10.85546875" style="2" customWidth="1"/>
    <col min="9412" max="9412" width="14.5703125" style="2" customWidth="1"/>
    <col min="9413" max="9414" width="15.5703125" style="2" customWidth="1"/>
    <col min="9415" max="9415" width="17.7109375" style="2" customWidth="1"/>
    <col min="9416" max="9641" width="29.28515625" style="2" customWidth="1"/>
    <col min="9642" max="9642" width="42.42578125" style="2" customWidth="1"/>
    <col min="9643" max="9645" width="12.42578125" style="2" customWidth="1"/>
    <col min="9646" max="9648" width="10.85546875" style="2" customWidth="1"/>
    <col min="9649" max="9651" width="14.5703125" style="2" bestFit="1" customWidth="1"/>
    <col min="9652" max="9654" width="11" style="2" customWidth="1"/>
    <col min="9655" max="9657" width="14.5703125" style="2" customWidth="1"/>
    <col min="9658" max="9660" width="15.28515625" style="2" customWidth="1"/>
    <col min="9661" max="9661" width="15.5703125" style="2"/>
    <col min="9662" max="9662" width="44.5703125" style="2" customWidth="1"/>
    <col min="9663" max="9663" width="13.85546875" style="2" customWidth="1"/>
    <col min="9664" max="9664" width="10.85546875" style="2" customWidth="1"/>
    <col min="9665" max="9665" width="14.5703125" style="2" customWidth="1"/>
    <col min="9666" max="9666" width="11" style="2" customWidth="1"/>
    <col min="9667" max="9667" width="10.85546875" style="2" customWidth="1"/>
    <col min="9668" max="9668" width="14.5703125" style="2" customWidth="1"/>
    <col min="9669" max="9670" width="15.5703125" style="2" customWidth="1"/>
    <col min="9671" max="9671" width="17.7109375" style="2" customWidth="1"/>
    <col min="9672" max="9897" width="29.28515625" style="2" customWidth="1"/>
    <col min="9898" max="9898" width="42.42578125" style="2" customWidth="1"/>
    <col min="9899" max="9901" width="12.42578125" style="2" customWidth="1"/>
    <col min="9902" max="9904" width="10.85546875" style="2" customWidth="1"/>
    <col min="9905" max="9907" width="14.5703125" style="2" bestFit="1" customWidth="1"/>
    <col min="9908" max="9910" width="11" style="2" customWidth="1"/>
    <col min="9911" max="9913" width="14.5703125" style="2" customWidth="1"/>
    <col min="9914" max="9916" width="15.28515625" style="2" customWidth="1"/>
    <col min="9917" max="9917" width="15.5703125" style="2"/>
    <col min="9918" max="9918" width="44.5703125" style="2" customWidth="1"/>
    <col min="9919" max="9919" width="13.85546875" style="2" customWidth="1"/>
    <col min="9920" max="9920" width="10.85546875" style="2" customWidth="1"/>
    <col min="9921" max="9921" width="14.5703125" style="2" customWidth="1"/>
    <col min="9922" max="9922" width="11" style="2" customWidth="1"/>
    <col min="9923" max="9923" width="10.85546875" style="2" customWidth="1"/>
    <col min="9924" max="9924" width="14.5703125" style="2" customWidth="1"/>
    <col min="9925" max="9926" width="15.5703125" style="2" customWidth="1"/>
    <col min="9927" max="9927" width="17.7109375" style="2" customWidth="1"/>
    <col min="9928" max="10153" width="29.28515625" style="2" customWidth="1"/>
    <col min="10154" max="10154" width="42.42578125" style="2" customWidth="1"/>
    <col min="10155" max="10157" width="12.42578125" style="2" customWidth="1"/>
    <col min="10158" max="10160" width="10.85546875" style="2" customWidth="1"/>
    <col min="10161" max="10163" width="14.5703125" style="2" bestFit="1" customWidth="1"/>
    <col min="10164" max="10166" width="11" style="2" customWidth="1"/>
    <col min="10167" max="10169" width="14.5703125" style="2" customWidth="1"/>
    <col min="10170" max="10172" width="15.28515625" style="2" customWidth="1"/>
    <col min="10173" max="10173" width="15.5703125" style="2"/>
    <col min="10174" max="10174" width="44.5703125" style="2" customWidth="1"/>
    <col min="10175" max="10175" width="13.85546875" style="2" customWidth="1"/>
    <col min="10176" max="10176" width="10.85546875" style="2" customWidth="1"/>
    <col min="10177" max="10177" width="14.5703125" style="2" customWidth="1"/>
    <col min="10178" max="10178" width="11" style="2" customWidth="1"/>
    <col min="10179" max="10179" width="10.85546875" style="2" customWidth="1"/>
    <col min="10180" max="10180" width="14.5703125" style="2" customWidth="1"/>
    <col min="10181" max="10182" width="15.5703125" style="2" customWidth="1"/>
    <col min="10183" max="10183" width="17.7109375" style="2" customWidth="1"/>
    <col min="10184" max="10409" width="29.28515625" style="2" customWidth="1"/>
    <col min="10410" max="10410" width="42.42578125" style="2" customWidth="1"/>
    <col min="10411" max="10413" width="12.42578125" style="2" customWidth="1"/>
    <col min="10414" max="10416" width="10.85546875" style="2" customWidth="1"/>
    <col min="10417" max="10419" width="14.5703125" style="2" bestFit="1" customWidth="1"/>
    <col min="10420" max="10422" width="11" style="2" customWidth="1"/>
    <col min="10423" max="10425" width="14.5703125" style="2" customWidth="1"/>
    <col min="10426" max="10428" width="15.28515625" style="2" customWidth="1"/>
    <col min="10429" max="10429" width="15.5703125" style="2"/>
    <col min="10430" max="10430" width="44.5703125" style="2" customWidth="1"/>
    <col min="10431" max="10431" width="13.85546875" style="2" customWidth="1"/>
    <col min="10432" max="10432" width="10.85546875" style="2" customWidth="1"/>
    <col min="10433" max="10433" width="14.5703125" style="2" customWidth="1"/>
    <col min="10434" max="10434" width="11" style="2" customWidth="1"/>
    <col min="10435" max="10435" width="10.85546875" style="2" customWidth="1"/>
    <col min="10436" max="10436" width="14.5703125" style="2" customWidth="1"/>
    <col min="10437" max="10438" width="15.5703125" style="2" customWidth="1"/>
    <col min="10439" max="10439" width="17.7109375" style="2" customWidth="1"/>
    <col min="10440" max="10665" width="29.28515625" style="2" customWidth="1"/>
    <col min="10666" max="10666" width="42.42578125" style="2" customWidth="1"/>
    <col min="10667" max="10669" width="12.42578125" style="2" customWidth="1"/>
    <col min="10670" max="10672" width="10.85546875" style="2" customWidth="1"/>
    <col min="10673" max="10675" width="14.5703125" style="2" bestFit="1" customWidth="1"/>
    <col min="10676" max="10678" width="11" style="2" customWidth="1"/>
    <col min="10679" max="10681" width="14.5703125" style="2" customWidth="1"/>
    <col min="10682" max="10684" width="15.28515625" style="2" customWidth="1"/>
    <col min="10685" max="10685" width="15.5703125" style="2"/>
    <col min="10686" max="10686" width="44.5703125" style="2" customWidth="1"/>
    <col min="10687" max="10687" width="13.85546875" style="2" customWidth="1"/>
    <col min="10688" max="10688" width="10.85546875" style="2" customWidth="1"/>
    <col min="10689" max="10689" width="14.5703125" style="2" customWidth="1"/>
    <col min="10690" max="10690" width="11" style="2" customWidth="1"/>
    <col min="10691" max="10691" width="10.85546875" style="2" customWidth="1"/>
    <col min="10692" max="10692" width="14.5703125" style="2" customWidth="1"/>
    <col min="10693" max="10694" width="15.5703125" style="2" customWidth="1"/>
    <col min="10695" max="10695" width="17.7109375" style="2" customWidth="1"/>
    <col min="10696" max="10921" width="29.28515625" style="2" customWidth="1"/>
    <col min="10922" max="10922" width="42.42578125" style="2" customWidth="1"/>
    <col min="10923" max="10925" width="12.42578125" style="2" customWidth="1"/>
    <col min="10926" max="10928" width="10.85546875" style="2" customWidth="1"/>
    <col min="10929" max="10931" width="14.5703125" style="2" bestFit="1" customWidth="1"/>
    <col min="10932" max="10934" width="11" style="2" customWidth="1"/>
    <col min="10935" max="10937" width="14.5703125" style="2" customWidth="1"/>
    <col min="10938" max="10940" width="15.28515625" style="2" customWidth="1"/>
    <col min="10941" max="10941" width="15.5703125" style="2"/>
    <col min="10942" max="10942" width="44.5703125" style="2" customWidth="1"/>
    <col min="10943" max="10943" width="13.85546875" style="2" customWidth="1"/>
    <col min="10944" max="10944" width="10.85546875" style="2" customWidth="1"/>
    <col min="10945" max="10945" width="14.5703125" style="2" customWidth="1"/>
    <col min="10946" max="10946" width="11" style="2" customWidth="1"/>
    <col min="10947" max="10947" width="10.85546875" style="2" customWidth="1"/>
    <col min="10948" max="10948" width="14.5703125" style="2" customWidth="1"/>
    <col min="10949" max="10950" width="15.5703125" style="2" customWidth="1"/>
    <col min="10951" max="10951" width="17.7109375" style="2" customWidth="1"/>
    <col min="10952" max="11177" width="29.28515625" style="2" customWidth="1"/>
    <col min="11178" max="11178" width="42.42578125" style="2" customWidth="1"/>
    <col min="11179" max="11181" width="12.42578125" style="2" customWidth="1"/>
    <col min="11182" max="11184" width="10.85546875" style="2" customWidth="1"/>
    <col min="11185" max="11187" width="14.5703125" style="2" bestFit="1" customWidth="1"/>
    <col min="11188" max="11190" width="11" style="2" customWidth="1"/>
    <col min="11191" max="11193" width="14.5703125" style="2" customWidth="1"/>
    <col min="11194" max="11196" width="15.28515625" style="2" customWidth="1"/>
    <col min="11197" max="11197" width="15.5703125" style="2"/>
    <col min="11198" max="11198" width="44.5703125" style="2" customWidth="1"/>
    <col min="11199" max="11199" width="13.85546875" style="2" customWidth="1"/>
    <col min="11200" max="11200" width="10.85546875" style="2" customWidth="1"/>
    <col min="11201" max="11201" width="14.5703125" style="2" customWidth="1"/>
    <col min="11202" max="11202" width="11" style="2" customWidth="1"/>
    <col min="11203" max="11203" width="10.85546875" style="2" customWidth="1"/>
    <col min="11204" max="11204" width="14.5703125" style="2" customWidth="1"/>
    <col min="11205" max="11206" width="15.5703125" style="2" customWidth="1"/>
    <col min="11207" max="11207" width="17.7109375" style="2" customWidth="1"/>
    <col min="11208" max="11433" width="29.28515625" style="2" customWidth="1"/>
    <col min="11434" max="11434" width="42.42578125" style="2" customWidth="1"/>
    <col min="11435" max="11437" width="12.42578125" style="2" customWidth="1"/>
    <col min="11438" max="11440" width="10.85546875" style="2" customWidth="1"/>
    <col min="11441" max="11443" width="14.5703125" style="2" bestFit="1" customWidth="1"/>
    <col min="11444" max="11446" width="11" style="2" customWidth="1"/>
    <col min="11447" max="11449" width="14.5703125" style="2" customWidth="1"/>
    <col min="11450" max="11452" width="15.28515625" style="2" customWidth="1"/>
    <col min="11453" max="11453" width="15.5703125" style="2"/>
    <col min="11454" max="11454" width="44.5703125" style="2" customWidth="1"/>
    <col min="11455" max="11455" width="13.85546875" style="2" customWidth="1"/>
    <col min="11456" max="11456" width="10.85546875" style="2" customWidth="1"/>
    <col min="11457" max="11457" width="14.5703125" style="2" customWidth="1"/>
    <col min="11458" max="11458" width="11" style="2" customWidth="1"/>
    <col min="11459" max="11459" width="10.85546875" style="2" customWidth="1"/>
    <col min="11460" max="11460" width="14.5703125" style="2" customWidth="1"/>
    <col min="11461" max="11462" width="15.5703125" style="2" customWidth="1"/>
    <col min="11463" max="11463" width="17.7109375" style="2" customWidth="1"/>
    <col min="11464" max="11689" width="29.28515625" style="2" customWidth="1"/>
    <col min="11690" max="11690" width="42.42578125" style="2" customWidth="1"/>
    <col min="11691" max="11693" width="12.42578125" style="2" customWidth="1"/>
    <col min="11694" max="11696" width="10.85546875" style="2" customWidth="1"/>
    <col min="11697" max="11699" width="14.5703125" style="2" bestFit="1" customWidth="1"/>
    <col min="11700" max="11702" width="11" style="2" customWidth="1"/>
    <col min="11703" max="11705" width="14.5703125" style="2" customWidth="1"/>
    <col min="11706" max="11708" width="15.28515625" style="2" customWidth="1"/>
    <col min="11709" max="11709" width="15.5703125" style="2"/>
    <col min="11710" max="11710" width="44.5703125" style="2" customWidth="1"/>
    <col min="11711" max="11711" width="13.85546875" style="2" customWidth="1"/>
    <col min="11712" max="11712" width="10.85546875" style="2" customWidth="1"/>
    <col min="11713" max="11713" width="14.5703125" style="2" customWidth="1"/>
    <col min="11714" max="11714" width="11" style="2" customWidth="1"/>
    <col min="11715" max="11715" width="10.85546875" style="2" customWidth="1"/>
    <col min="11716" max="11716" width="14.5703125" style="2" customWidth="1"/>
    <col min="11717" max="11718" width="15.5703125" style="2" customWidth="1"/>
    <col min="11719" max="11719" width="17.7109375" style="2" customWidth="1"/>
    <col min="11720" max="11945" width="29.28515625" style="2" customWidth="1"/>
    <col min="11946" max="11946" width="42.42578125" style="2" customWidth="1"/>
    <col min="11947" max="11949" width="12.42578125" style="2" customWidth="1"/>
    <col min="11950" max="11952" width="10.85546875" style="2" customWidth="1"/>
    <col min="11953" max="11955" width="14.5703125" style="2" bestFit="1" customWidth="1"/>
    <col min="11956" max="11958" width="11" style="2" customWidth="1"/>
    <col min="11959" max="11961" width="14.5703125" style="2" customWidth="1"/>
    <col min="11962" max="11964" width="15.28515625" style="2" customWidth="1"/>
    <col min="11965" max="11965" width="15.5703125" style="2"/>
    <col min="11966" max="11966" width="44.5703125" style="2" customWidth="1"/>
    <col min="11967" max="11967" width="13.85546875" style="2" customWidth="1"/>
    <col min="11968" max="11968" width="10.85546875" style="2" customWidth="1"/>
    <col min="11969" max="11969" width="14.5703125" style="2" customWidth="1"/>
    <col min="11970" max="11970" width="11" style="2" customWidth="1"/>
    <col min="11971" max="11971" width="10.85546875" style="2" customWidth="1"/>
    <col min="11972" max="11972" width="14.5703125" style="2" customWidth="1"/>
    <col min="11973" max="11974" width="15.5703125" style="2" customWidth="1"/>
    <col min="11975" max="11975" width="17.7109375" style="2" customWidth="1"/>
    <col min="11976" max="12201" width="29.28515625" style="2" customWidth="1"/>
    <col min="12202" max="12202" width="42.42578125" style="2" customWidth="1"/>
    <col min="12203" max="12205" width="12.42578125" style="2" customWidth="1"/>
    <col min="12206" max="12208" width="10.85546875" style="2" customWidth="1"/>
    <col min="12209" max="12211" width="14.5703125" style="2" bestFit="1" customWidth="1"/>
    <col min="12212" max="12214" width="11" style="2" customWidth="1"/>
    <col min="12215" max="12217" width="14.5703125" style="2" customWidth="1"/>
    <col min="12218" max="12220" width="15.28515625" style="2" customWidth="1"/>
    <col min="12221" max="12221" width="15.5703125" style="2"/>
    <col min="12222" max="12222" width="44.5703125" style="2" customWidth="1"/>
    <col min="12223" max="12223" width="13.85546875" style="2" customWidth="1"/>
    <col min="12224" max="12224" width="10.85546875" style="2" customWidth="1"/>
    <col min="12225" max="12225" width="14.5703125" style="2" customWidth="1"/>
    <col min="12226" max="12226" width="11" style="2" customWidth="1"/>
    <col min="12227" max="12227" width="10.85546875" style="2" customWidth="1"/>
    <col min="12228" max="12228" width="14.5703125" style="2" customWidth="1"/>
    <col min="12229" max="12230" width="15.5703125" style="2" customWidth="1"/>
    <col min="12231" max="12231" width="17.7109375" style="2" customWidth="1"/>
    <col min="12232" max="12457" width="29.28515625" style="2" customWidth="1"/>
    <col min="12458" max="12458" width="42.42578125" style="2" customWidth="1"/>
    <col min="12459" max="12461" width="12.42578125" style="2" customWidth="1"/>
    <col min="12462" max="12464" width="10.85546875" style="2" customWidth="1"/>
    <col min="12465" max="12467" width="14.5703125" style="2" bestFit="1" customWidth="1"/>
    <col min="12468" max="12470" width="11" style="2" customWidth="1"/>
    <col min="12471" max="12473" width="14.5703125" style="2" customWidth="1"/>
    <col min="12474" max="12476" width="15.28515625" style="2" customWidth="1"/>
    <col min="12477" max="12477" width="15.5703125" style="2"/>
    <col min="12478" max="12478" width="44.5703125" style="2" customWidth="1"/>
    <col min="12479" max="12479" width="13.85546875" style="2" customWidth="1"/>
    <col min="12480" max="12480" width="10.85546875" style="2" customWidth="1"/>
    <col min="12481" max="12481" width="14.5703125" style="2" customWidth="1"/>
    <col min="12482" max="12482" width="11" style="2" customWidth="1"/>
    <col min="12483" max="12483" width="10.85546875" style="2" customWidth="1"/>
    <col min="12484" max="12484" width="14.5703125" style="2" customWidth="1"/>
    <col min="12485" max="12486" width="15.5703125" style="2" customWidth="1"/>
    <col min="12487" max="12487" width="17.7109375" style="2" customWidth="1"/>
    <col min="12488" max="12713" width="29.28515625" style="2" customWidth="1"/>
    <col min="12714" max="12714" width="42.42578125" style="2" customWidth="1"/>
    <col min="12715" max="12717" width="12.42578125" style="2" customWidth="1"/>
    <col min="12718" max="12720" width="10.85546875" style="2" customWidth="1"/>
    <col min="12721" max="12723" width="14.5703125" style="2" bestFit="1" customWidth="1"/>
    <col min="12724" max="12726" width="11" style="2" customWidth="1"/>
    <col min="12727" max="12729" width="14.5703125" style="2" customWidth="1"/>
    <col min="12730" max="12732" width="15.28515625" style="2" customWidth="1"/>
    <col min="12733" max="12733" width="15.5703125" style="2"/>
    <col min="12734" max="12734" width="44.5703125" style="2" customWidth="1"/>
    <col min="12735" max="12735" width="13.85546875" style="2" customWidth="1"/>
    <col min="12736" max="12736" width="10.85546875" style="2" customWidth="1"/>
    <col min="12737" max="12737" width="14.5703125" style="2" customWidth="1"/>
    <col min="12738" max="12738" width="11" style="2" customWidth="1"/>
    <col min="12739" max="12739" width="10.85546875" style="2" customWidth="1"/>
    <col min="12740" max="12740" width="14.5703125" style="2" customWidth="1"/>
    <col min="12741" max="12742" width="15.5703125" style="2" customWidth="1"/>
    <col min="12743" max="12743" width="17.7109375" style="2" customWidth="1"/>
    <col min="12744" max="12969" width="29.28515625" style="2" customWidth="1"/>
    <col min="12970" max="12970" width="42.42578125" style="2" customWidth="1"/>
    <col min="12971" max="12973" width="12.42578125" style="2" customWidth="1"/>
    <col min="12974" max="12976" width="10.85546875" style="2" customWidth="1"/>
    <col min="12977" max="12979" width="14.5703125" style="2" bestFit="1" customWidth="1"/>
    <col min="12980" max="12982" width="11" style="2" customWidth="1"/>
    <col min="12983" max="12985" width="14.5703125" style="2" customWidth="1"/>
    <col min="12986" max="12988" width="15.28515625" style="2" customWidth="1"/>
    <col min="12989" max="12989" width="15.5703125" style="2"/>
    <col min="12990" max="12990" width="44.5703125" style="2" customWidth="1"/>
    <col min="12991" max="12991" width="13.85546875" style="2" customWidth="1"/>
    <col min="12992" max="12992" width="10.85546875" style="2" customWidth="1"/>
    <col min="12993" max="12993" width="14.5703125" style="2" customWidth="1"/>
    <col min="12994" max="12994" width="11" style="2" customWidth="1"/>
    <col min="12995" max="12995" width="10.85546875" style="2" customWidth="1"/>
    <col min="12996" max="12996" width="14.5703125" style="2" customWidth="1"/>
    <col min="12997" max="12998" width="15.5703125" style="2" customWidth="1"/>
    <col min="12999" max="12999" width="17.7109375" style="2" customWidth="1"/>
    <col min="13000" max="13225" width="29.28515625" style="2" customWidth="1"/>
    <col min="13226" max="13226" width="42.42578125" style="2" customWidth="1"/>
    <col min="13227" max="13229" width="12.42578125" style="2" customWidth="1"/>
    <col min="13230" max="13232" width="10.85546875" style="2" customWidth="1"/>
    <col min="13233" max="13235" width="14.5703125" style="2" bestFit="1" customWidth="1"/>
    <col min="13236" max="13238" width="11" style="2" customWidth="1"/>
    <col min="13239" max="13241" width="14.5703125" style="2" customWidth="1"/>
    <col min="13242" max="13244" width="15.28515625" style="2" customWidth="1"/>
    <col min="13245" max="13245" width="15.5703125" style="2"/>
    <col min="13246" max="13246" width="44.5703125" style="2" customWidth="1"/>
    <col min="13247" max="13247" width="13.85546875" style="2" customWidth="1"/>
    <col min="13248" max="13248" width="10.85546875" style="2" customWidth="1"/>
    <col min="13249" max="13249" width="14.5703125" style="2" customWidth="1"/>
    <col min="13250" max="13250" width="11" style="2" customWidth="1"/>
    <col min="13251" max="13251" width="10.85546875" style="2" customWidth="1"/>
    <col min="13252" max="13252" width="14.5703125" style="2" customWidth="1"/>
    <col min="13253" max="13254" width="15.5703125" style="2" customWidth="1"/>
    <col min="13255" max="13255" width="17.7109375" style="2" customWidth="1"/>
    <col min="13256" max="13481" width="29.28515625" style="2" customWidth="1"/>
    <col min="13482" max="13482" width="42.42578125" style="2" customWidth="1"/>
    <col min="13483" max="13485" width="12.42578125" style="2" customWidth="1"/>
    <col min="13486" max="13488" width="10.85546875" style="2" customWidth="1"/>
    <col min="13489" max="13491" width="14.5703125" style="2" bestFit="1" customWidth="1"/>
    <col min="13492" max="13494" width="11" style="2" customWidth="1"/>
    <col min="13495" max="13497" width="14.5703125" style="2" customWidth="1"/>
    <col min="13498" max="13500" width="15.28515625" style="2" customWidth="1"/>
    <col min="13501" max="13501" width="15.5703125" style="2"/>
    <col min="13502" max="13502" width="44.5703125" style="2" customWidth="1"/>
    <col min="13503" max="13503" width="13.85546875" style="2" customWidth="1"/>
    <col min="13504" max="13504" width="10.85546875" style="2" customWidth="1"/>
    <col min="13505" max="13505" width="14.5703125" style="2" customWidth="1"/>
    <col min="13506" max="13506" width="11" style="2" customWidth="1"/>
    <col min="13507" max="13507" width="10.85546875" style="2" customWidth="1"/>
    <col min="13508" max="13508" width="14.5703125" style="2" customWidth="1"/>
    <col min="13509" max="13510" width="15.5703125" style="2" customWidth="1"/>
    <col min="13511" max="13511" width="17.7109375" style="2" customWidth="1"/>
    <col min="13512" max="13737" width="29.28515625" style="2" customWidth="1"/>
    <col min="13738" max="13738" width="42.42578125" style="2" customWidth="1"/>
    <col min="13739" max="13741" width="12.42578125" style="2" customWidth="1"/>
    <col min="13742" max="13744" width="10.85546875" style="2" customWidth="1"/>
    <col min="13745" max="13747" width="14.5703125" style="2" bestFit="1" customWidth="1"/>
    <col min="13748" max="13750" width="11" style="2" customWidth="1"/>
    <col min="13751" max="13753" width="14.5703125" style="2" customWidth="1"/>
    <col min="13754" max="13756" width="15.28515625" style="2" customWidth="1"/>
    <col min="13757" max="13757" width="15.5703125" style="2"/>
    <col min="13758" max="13758" width="44.5703125" style="2" customWidth="1"/>
    <col min="13759" max="13759" width="13.85546875" style="2" customWidth="1"/>
    <col min="13760" max="13760" width="10.85546875" style="2" customWidth="1"/>
    <col min="13761" max="13761" width="14.5703125" style="2" customWidth="1"/>
    <col min="13762" max="13762" width="11" style="2" customWidth="1"/>
    <col min="13763" max="13763" width="10.85546875" style="2" customWidth="1"/>
    <col min="13764" max="13764" width="14.5703125" style="2" customWidth="1"/>
    <col min="13765" max="13766" width="15.5703125" style="2" customWidth="1"/>
    <col min="13767" max="13767" width="17.7109375" style="2" customWidth="1"/>
    <col min="13768" max="13993" width="29.28515625" style="2" customWidth="1"/>
    <col min="13994" max="13994" width="42.42578125" style="2" customWidth="1"/>
    <col min="13995" max="13997" width="12.42578125" style="2" customWidth="1"/>
    <col min="13998" max="14000" width="10.85546875" style="2" customWidth="1"/>
    <col min="14001" max="14003" width="14.5703125" style="2" bestFit="1" customWidth="1"/>
    <col min="14004" max="14006" width="11" style="2" customWidth="1"/>
    <col min="14007" max="14009" width="14.5703125" style="2" customWidth="1"/>
    <col min="14010" max="14012" width="15.28515625" style="2" customWidth="1"/>
    <col min="14013" max="14013" width="15.5703125" style="2"/>
    <col min="14014" max="14014" width="44.5703125" style="2" customWidth="1"/>
    <col min="14015" max="14015" width="13.85546875" style="2" customWidth="1"/>
    <col min="14016" max="14016" width="10.85546875" style="2" customWidth="1"/>
    <col min="14017" max="14017" width="14.5703125" style="2" customWidth="1"/>
    <col min="14018" max="14018" width="11" style="2" customWidth="1"/>
    <col min="14019" max="14019" width="10.85546875" style="2" customWidth="1"/>
    <col min="14020" max="14020" width="14.5703125" style="2" customWidth="1"/>
    <col min="14021" max="14022" width="15.5703125" style="2" customWidth="1"/>
    <col min="14023" max="14023" width="17.7109375" style="2" customWidth="1"/>
    <col min="14024" max="14249" width="29.28515625" style="2" customWidth="1"/>
    <col min="14250" max="14250" width="42.42578125" style="2" customWidth="1"/>
    <col min="14251" max="14253" width="12.42578125" style="2" customWidth="1"/>
    <col min="14254" max="14256" width="10.85546875" style="2" customWidth="1"/>
    <col min="14257" max="14259" width="14.5703125" style="2" bestFit="1" customWidth="1"/>
    <col min="14260" max="14262" width="11" style="2" customWidth="1"/>
    <col min="14263" max="14265" width="14.5703125" style="2" customWidth="1"/>
    <col min="14266" max="14268" width="15.28515625" style="2" customWidth="1"/>
    <col min="14269" max="14269" width="15.5703125" style="2"/>
    <col min="14270" max="14270" width="44.5703125" style="2" customWidth="1"/>
    <col min="14271" max="14271" width="13.85546875" style="2" customWidth="1"/>
    <col min="14272" max="14272" width="10.85546875" style="2" customWidth="1"/>
    <col min="14273" max="14273" width="14.5703125" style="2" customWidth="1"/>
    <col min="14274" max="14274" width="11" style="2" customWidth="1"/>
    <col min="14275" max="14275" width="10.85546875" style="2" customWidth="1"/>
    <col min="14276" max="14276" width="14.5703125" style="2" customWidth="1"/>
    <col min="14277" max="14278" width="15.5703125" style="2" customWidth="1"/>
    <col min="14279" max="14279" width="17.7109375" style="2" customWidth="1"/>
    <col min="14280" max="14505" width="29.28515625" style="2" customWidth="1"/>
    <col min="14506" max="14506" width="42.42578125" style="2" customWidth="1"/>
    <col min="14507" max="14509" width="12.42578125" style="2" customWidth="1"/>
    <col min="14510" max="14512" width="10.85546875" style="2" customWidth="1"/>
    <col min="14513" max="14515" width="14.5703125" style="2" bestFit="1" customWidth="1"/>
    <col min="14516" max="14518" width="11" style="2" customWidth="1"/>
    <col min="14519" max="14521" width="14.5703125" style="2" customWidth="1"/>
    <col min="14522" max="14524" width="15.28515625" style="2" customWidth="1"/>
    <col min="14525" max="14525" width="15.5703125" style="2"/>
    <col min="14526" max="14526" width="44.5703125" style="2" customWidth="1"/>
    <col min="14527" max="14527" width="13.85546875" style="2" customWidth="1"/>
    <col min="14528" max="14528" width="10.85546875" style="2" customWidth="1"/>
    <col min="14529" max="14529" width="14.5703125" style="2" customWidth="1"/>
    <col min="14530" max="14530" width="11" style="2" customWidth="1"/>
    <col min="14531" max="14531" width="10.85546875" style="2" customWidth="1"/>
    <col min="14532" max="14532" width="14.5703125" style="2" customWidth="1"/>
    <col min="14533" max="14534" width="15.5703125" style="2" customWidth="1"/>
    <col min="14535" max="14535" width="17.7109375" style="2" customWidth="1"/>
    <col min="14536" max="14761" width="29.28515625" style="2" customWidth="1"/>
    <col min="14762" max="14762" width="42.42578125" style="2" customWidth="1"/>
    <col min="14763" max="14765" width="12.42578125" style="2" customWidth="1"/>
    <col min="14766" max="14768" width="10.85546875" style="2" customWidth="1"/>
    <col min="14769" max="14771" width="14.5703125" style="2" bestFit="1" customWidth="1"/>
    <col min="14772" max="14774" width="11" style="2" customWidth="1"/>
    <col min="14775" max="14777" width="14.5703125" style="2" customWidth="1"/>
    <col min="14778" max="14780" width="15.28515625" style="2" customWidth="1"/>
    <col min="14781" max="14781" width="15.5703125" style="2"/>
    <col min="14782" max="14782" width="44.5703125" style="2" customWidth="1"/>
    <col min="14783" max="14783" width="13.85546875" style="2" customWidth="1"/>
    <col min="14784" max="14784" width="10.85546875" style="2" customWidth="1"/>
    <col min="14785" max="14785" width="14.5703125" style="2" customWidth="1"/>
    <col min="14786" max="14786" width="11" style="2" customWidth="1"/>
    <col min="14787" max="14787" width="10.85546875" style="2" customWidth="1"/>
    <col min="14788" max="14788" width="14.5703125" style="2" customWidth="1"/>
    <col min="14789" max="14790" width="15.5703125" style="2" customWidth="1"/>
    <col min="14791" max="14791" width="17.7109375" style="2" customWidth="1"/>
    <col min="14792" max="15017" width="29.28515625" style="2" customWidth="1"/>
    <col min="15018" max="15018" width="42.42578125" style="2" customWidth="1"/>
    <col min="15019" max="15021" width="12.42578125" style="2" customWidth="1"/>
    <col min="15022" max="15024" width="10.85546875" style="2" customWidth="1"/>
    <col min="15025" max="15027" width="14.5703125" style="2" bestFit="1" customWidth="1"/>
    <col min="15028" max="15030" width="11" style="2" customWidth="1"/>
    <col min="15031" max="15033" width="14.5703125" style="2" customWidth="1"/>
    <col min="15034" max="15036" width="15.28515625" style="2" customWidth="1"/>
    <col min="15037" max="15037" width="15.5703125" style="2"/>
    <col min="15038" max="15038" width="44.5703125" style="2" customWidth="1"/>
    <col min="15039" max="15039" width="13.85546875" style="2" customWidth="1"/>
    <col min="15040" max="15040" width="10.85546875" style="2" customWidth="1"/>
    <col min="15041" max="15041" width="14.5703125" style="2" customWidth="1"/>
    <col min="15042" max="15042" width="11" style="2" customWidth="1"/>
    <col min="15043" max="15043" width="10.85546875" style="2" customWidth="1"/>
    <col min="15044" max="15044" width="14.5703125" style="2" customWidth="1"/>
    <col min="15045" max="15046" width="15.5703125" style="2" customWidth="1"/>
    <col min="15047" max="15047" width="17.7109375" style="2" customWidth="1"/>
    <col min="15048" max="15273" width="29.28515625" style="2" customWidth="1"/>
    <col min="15274" max="15274" width="42.42578125" style="2" customWidth="1"/>
    <col min="15275" max="15277" width="12.42578125" style="2" customWidth="1"/>
    <col min="15278" max="15280" width="10.85546875" style="2" customWidth="1"/>
    <col min="15281" max="15283" width="14.5703125" style="2" bestFit="1" customWidth="1"/>
    <col min="15284" max="15286" width="11" style="2" customWidth="1"/>
    <col min="15287" max="15289" width="14.5703125" style="2" customWidth="1"/>
    <col min="15290" max="15292" width="15.28515625" style="2" customWidth="1"/>
    <col min="15293" max="15293" width="15.5703125" style="2"/>
    <col min="15294" max="15294" width="44.5703125" style="2" customWidth="1"/>
    <col min="15295" max="15295" width="13.85546875" style="2" customWidth="1"/>
    <col min="15296" max="15296" width="10.85546875" style="2" customWidth="1"/>
    <col min="15297" max="15297" width="14.5703125" style="2" customWidth="1"/>
    <col min="15298" max="15298" width="11" style="2" customWidth="1"/>
    <col min="15299" max="15299" width="10.85546875" style="2" customWidth="1"/>
    <col min="15300" max="15300" width="14.5703125" style="2" customWidth="1"/>
    <col min="15301" max="15302" width="15.5703125" style="2" customWidth="1"/>
    <col min="15303" max="15303" width="17.7109375" style="2" customWidth="1"/>
    <col min="15304" max="15529" width="29.28515625" style="2" customWidth="1"/>
    <col min="15530" max="15530" width="42.42578125" style="2" customWidth="1"/>
    <col min="15531" max="15533" width="12.42578125" style="2" customWidth="1"/>
    <col min="15534" max="15536" width="10.85546875" style="2" customWidth="1"/>
    <col min="15537" max="15539" width="14.5703125" style="2" bestFit="1" customWidth="1"/>
    <col min="15540" max="15542" width="11" style="2" customWidth="1"/>
    <col min="15543" max="15545" width="14.5703125" style="2" customWidth="1"/>
    <col min="15546" max="15548" width="15.28515625" style="2" customWidth="1"/>
    <col min="15549" max="15549" width="15.5703125" style="2"/>
    <col min="15550" max="15550" width="44.5703125" style="2" customWidth="1"/>
    <col min="15551" max="15551" width="13.85546875" style="2" customWidth="1"/>
    <col min="15552" max="15552" width="10.85546875" style="2" customWidth="1"/>
    <col min="15553" max="15553" width="14.5703125" style="2" customWidth="1"/>
    <col min="15554" max="15554" width="11" style="2" customWidth="1"/>
    <col min="15555" max="15555" width="10.85546875" style="2" customWidth="1"/>
    <col min="15556" max="15556" width="14.5703125" style="2" customWidth="1"/>
    <col min="15557" max="15558" width="15.5703125" style="2" customWidth="1"/>
    <col min="15559" max="15559" width="17.7109375" style="2" customWidth="1"/>
    <col min="15560" max="15785" width="29.28515625" style="2" customWidth="1"/>
    <col min="15786" max="15786" width="42.42578125" style="2" customWidth="1"/>
    <col min="15787" max="15789" width="12.42578125" style="2" customWidth="1"/>
    <col min="15790" max="15792" width="10.85546875" style="2" customWidth="1"/>
    <col min="15793" max="15795" width="14.5703125" style="2" bestFit="1" customWidth="1"/>
    <col min="15796" max="15798" width="11" style="2" customWidth="1"/>
    <col min="15799" max="15801" width="14.5703125" style="2" customWidth="1"/>
    <col min="15802" max="15804" width="15.28515625" style="2" customWidth="1"/>
    <col min="15805" max="15805" width="15.5703125" style="2"/>
    <col min="15806" max="15806" width="44.5703125" style="2" customWidth="1"/>
    <col min="15807" max="15807" width="13.85546875" style="2" customWidth="1"/>
    <col min="15808" max="15808" width="10.85546875" style="2" customWidth="1"/>
    <col min="15809" max="15809" width="14.5703125" style="2" customWidth="1"/>
    <col min="15810" max="15810" width="11" style="2" customWidth="1"/>
    <col min="15811" max="15811" width="10.85546875" style="2" customWidth="1"/>
    <col min="15812" max="15812" width="14.5703125" style="2" customWidth="1"/>
    <col min="15813" max="15814" width="15.5703125" style="2" customWidth="1"/>
    <col min="15815" max="15815" width="17.7109375" style="2" customWidth="1"/>
    <col min="15816" max="16041" width="29.28515625" style="2" customWidth="1"/>
    <col min="16042" max="16042" width="42.42578125" style="2" customWidth="1"/>
    <col min="16043" max="16045" width="12.42578125" style="2" customWidth="1"/>
    <col min="16046" max="16048" width="10.85546875" style="2" customWidth="1"/>
    <col min="16049" max="16051" width="14.5703125" style="2" bestFit="1" customWidth="1"/>
    <col min="16052" max="16054" width="11" style="2" customWidth="1"/>
    <col min="16055" max="16057" width="14.5703125" style="2" customWidth="1"/>
    <col min="16058" max="16060" width="15.28515625" style="2" customWidth="1"/>
    <col min="16061" max="16061" width="15.5703125" style="2"/>
    <col min="16062" max="16062" width="44.5703125" style="2" customWidth="1"/>
    <col min="16063" max="16063" width="13.85546875" style="2" customWidth="1"/>
    <col min="16064" max="16064" width="10.85546875" style="2" customWidth="1"/>
    <col min="16065" max="16065" width="14.5703125" style="2" customWidth="1"/>
    <col min="16066" max="16066" width="11" style="2" customWidth="1"/>
    <col min="16067" max="16067" width="10.85546875" style="2" customWidth="1"/>
    <col min="16068" max="16068" width="14.5703125" style="2" customWidth="1"/>
    <col min="16069" max="16070" width="15.5703125" style="2" customWidth="1"/>
    <col min="16071" max="16071" width="17.7109375" style="2" customWidth="1"/>
    <col min="16072" max="16297" width="29.28515625" style="2" customWidth="1"/>
    <col min="16298" max="16298" width="42.42578125" style="2" customWidth="1"/>
    <col min="16299" max="16384" width="12.42578125" style="2" customWidth="1"/>
  </cols>
  <sheetData>
    <row r="1" spans="1:189" x14ac:dyDescent="0.25">
      <c r="T1" s="3"/>
      <c r="U1" s="3"/>
      <c r="V1" s="3"/>
      <c r="W1" s="3"/>
      <c r="X1" s="3"/>
      <c r="Y1" s="3"/>
      <c r="Z1" s="4"/>
      <c r="AA1" s="3"/>
      <c r="AB1" s="4" t="s">
        <v>440</v>
      </c>
    </row>
    <row r="2" spans="1:189" x14ac:dyDescent="0.25">
      <c r="Z2" s="5"/>
    </row>
    <row r="3" spans="1:189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</row>
    <row r="4" spans="1:189" s="5" customFormat="1" x14ac:dyDescent="0.25">
      <c r="A4" s="7" t="s">
        <v>441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189" s="5" customFormat="1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189" s="11" customFormat="1" ht="63" x14ac:dyDescent="0.25">
      <c r="A6" s="8" t="s">
        <v>1</v>
      </c>
      <c r="B6" s="9" t="s">
        <v>2</v>
      </c>
      <c r="C6" s="9" t="s">
        <v>2</v>
      </c>
      <c r="D6" s="9" t="s">
        <v>2</v>
      </c>
      <c r="E6" s="10" t="s">
        <v>3</v>
      </c>
      <c r="F6" s="10" t="s">
        <v>3</v>
      </c>
      <c r="G6" s="10" t="s">
        <v>3</v>
      </c>
      <c r="H6" s="10" t="s">
        <v>4</v>
      </c>
      <c r="I6" s="10" t="s">
        <v>4</v>
      </c>
      <c r="J6" s="10" t="s">
        <v>4</v>
      </c>
      <c r="K6" s="10" t="s">
        <v>5</v>
      </c>
      <c r="L6" s="10" t="s">
        <v>5</v>
      </c>
      <c r="M6" s="10" t="s">
        <v>5</v>
      </c>
      <c r="N6" s="10" t="s">
        <v>6</v>
      </c>
      <c r="O6" s="10" t="s">
        <v>6</v>
      </c>
      <c r="P6" s="10" t="s">
        <v>6</v>
      </c>
      <c r="Q6" s="10" t="s">
        <v>7</v>
      </c>
      <c r="R6" s="10" t="s">
        <v>7</v>
      </c>
      <c r="S6" s="10" t="s">
        <v>7</v>
      </c>
      <c r="T6" s="10" t="s">
        <v>8</v>
      </c>
      <c r="U6" s="10" t="s">
        <v>8</v>
      </c>
      <c r="V6" s="10" t="s">
        <v>8</v>
      </c>
      <c r="W6" s="10" t="s">
        <v>228</v>
      </c>
      <c r="X6" s="10" t="s">
        <v>228</v>
      </c>
      <c r="Y6" s="10" t="s">
        <v>228</v>
      </c>
      <c r="Z6" s="10" t="s">
        <v>9</v>
      </c>
      <c r="AA6" s="10" t="s">
        <v>9</v>
      </c>
      <c r="AB6" s="10" t="s">
        <v>9</v>
      </c>
    </row>
    <row r="7" spans="1:189" s="11" customFormat="1" x14ac:dyDescent="0.25">
      <c r="A7" s="44"/>
      <c r="B7" s="45" t="s">
        <v>225</v>
      </c>
      <c r="C7" s="45" t="s">
        <v>226</v>
      </c>
      <c r="D7" s="45" t="s">
        <v>227</v>
      </c>
      <c r="E7" s="45" t="s">
        <v>225</v>
      </c>
      <c r="F7" s="45" t="s">
        <v>226</v>
      </c>
      <c r="G7" s="45" t="s">
        <v>227</v>
      </c>
      <c r="H7" s="45" t="s">
        <v>225</v>
      </c>
      <c r="I7" s="45" t="s">
        <v>226</v>
      </c>
      <c r="J7" s="45" t="s">
        <v>227</v>
      </c>
      <c r="K7" s="45" t="s">
        <v>225</v>
      </c>
      <c r="L7" s="45" t="s">
        <v>226</v>
      </c>
      <c r="M7" s="45" t="s">
        <v>227</v>
      </c>
      <c r="N7" s="45" t="s">
        <v>225</v>
      </c>
      <c r="O7" s="45" t="s">
        <v>226</v>
      </c>
      <c r="P7" s="45" t="s">
        <v>227</v>
      </c>
      <c r="Q7" s="45" t="s">
        <v>225</v>
      </c>
      <c r="R7" s="45" t="s">
        <v>226</v>
      </c>
      <c r="S7" s="45" t="s">
        <v>227</v>
      </c>
      <c r="T7" s="45" t="s">
        <v>225</v>
      </c>
      <c r="U7" s="45" t="s">
        <v>226</v>
      </c>
      <c r="V7" s="45" t="s">
        <v>227</v>
      </c>
      <c r="W7" s="45" t="s">
        <v>225</v>
      </c>
      <c r="X7" s="45" t="s">
        <v>226</v>
      </c>
      <c r="Y7" s="45" t="s">
        <v>227</v>
      </c>
      <c r="Z7" s="45" t="s">
        <v>225</v>
      </c>
      <c r="AA7" s="45" t="s">
        <v>226</v>
      </c>
      <c r="AB7" s="45" t="s">
        <v>227</v>
      </c>
    </row>
    <row r="8" spans="1:189" s="14" customFormat="1" x14ac:dyDescent="0.25">
      <c r="A8" s="12" t="s">
        <v>10</v>
      </c>
      <c r="B8" s="13">
        <f>E8+H8+K8+N8+Q8+T8+Z8+W8</f>
        <v>33076933</v>
      </c>
      <c r="C8" s="13">
        <f t="shared" ref="C8:D8" si="0">F8+I8+L8+O8+R8+U8+AA8+X8</f>
        <v>34080432</v>
      </c>
      <c r="D8" s="13">
        <f t="shared" si="0"/>
        <v>1003499</v>
      </c>
      <c r="E8" s="13">
        <f>SUM(E9,E149,E305,E315,E318)</f>
        <v>2140000</v>
      </c>
      <c r="F8" s="13">
        <f>SUM(F9,F149,F305,F315,F318)</f>
        <v>2140000</v>
      </c>
      <c r="G8" s="13">
        <f>F8-E8</f>
        <v>0</v>
      </c>
      <c r="H8" s="13">
        <f>SUM(H9,H149,H305,H315,H318)</f>
        <v>486834</v>
      </c>
      <c r="I8" s="13">
        <f>SUM(I9,I149,I305,I315,I318)</f>
        <v>486834</v>
      </c>
      <c r="J8" s="13">
        <f>I8-H8</f>
        <v>0</v>
      </c>
      <c r="K8" s="13">
        <f>SUM(K9,K149,K305,K315,K318)</f>
        <v>1152276</v>
      </c>
      <c r="L8" s="13">
        <f>SUM(L9,L149,L305,L315,L318)</f>
        <v>1963474</v>
      </c>
      <c r="M8" s="13">
        <f>L8-K8</f>
        <v>811198</v>
      </c>
      <c r="N8" s="13">
        <f>SUM(N9,N149,N305,N315,N318)</f>
        <v>13229311</v>
      </c>
      <c r="O8" s="13">
        <f>SUM(O9,O149,O305,O315,O318)</f>
        <v>13234744</v>
      </c>
      <c r="P8" s="13">
        <f>O8-N8</f>
        <v>5433</v>
      </c>
      <c r="Q8" s="13">
        <f>SUM(Q9,Q149,Q305,Q315,Q318)</f>
        <v>426113</v>
      </c>
      <c r="R8" s="13">
        <f>SUM(R9,R149,R305,R315,R318)</f>
        <v>612981</v>
      </c>
      <c r="S8" s="13">
        <f>R8-Q8</f>
        <v>186868</v>
      </c>
      <c r="T8" s="13">
        <f>SUM(T9,T149,T305,T315,T318)</f>
        <v>9384963</v>
      </c>
      <c r="U8" s="13">
        <f>SUM(U9,U149,U305,U315,U318)</f>
        <v>9384963</v>
      </c>
      <c r="V8" s="13">
        <f>U8-T8</f>
        <v>0</v>
      </c>
      <c r="W8" s="13">
        <f>SUM(W9,W149,W305,W315,W318)</f>
        <v>0</v>
      </c>
      <c r="X8" s="13">
        <f>SUM(X9,X149,X305,X315,X318)</f>
        <v>0</v>
      </c>
      <c r="Y8" s="13">
        <f>X8-W8</f>
        <v>0</v>
      </c>
      <c r="Z8" s="13">
        <f>SUM(Z9,Z149,Z305,Z315,Z318)</f>
        <v>6257436</v>
      </c>
      <c r="AA8" s="13">
        <f>SUM(AA9,AA149,AA305,AA315,AA318)</f>
        <v>6257436</v>
      </c>
      <c r="AB8" s="13">
        <f>AA8-Z8</f>
        <v>0</v>
      </c>
    </row>
    <row r="9" spans="1:189" s="14" customFormat="1" x14ac:dyDescent="0.25">
      <c r="A9" s="15" t="s">
        <v>11</v>
      </c>
      <c r="B9" s="16">
        <f t="shared" ref="B9:B74" si="1">E9+H9+K9+N9+Q9+T9+Z9</f>
        <v>17223808</v>
      </c>
      <c r="C9" s="16">
        <f t="shared" ref="C9:D24" si="2">F9+I9+L9+O9+R9+U9+AA9</f>
        <v>18018501</v>
      </c>
      <c r="D9" s="16">
        <f t="shared" si="2"/>
        <v>794693</v>
      </c>
      <c r="E9" s="16">
        <f>SUM(E10,E16,E31,E45,E127,E142,E41,E49)</f>
        <v>1029118</v>
      </c>
      <c r="F9" s="16">
        <f>SUM(F10,F16,F31,F45,F127,F142,F41,F49)</f>
        <v>1029118</v>
      </c>
      <c r="G9" s="16">
        <f t="shared" ref="G9:G74" si="3">F9-E9</f>
        <v>0</v>
      </c>
      <c r="H9" s="16">
        <f>SUM(H10,H16,H31,H45,H127,H142,H41,H49)</f>
        <v>176852</v>
      </c>
      <c r="I9" s="16">
        <f>SUM(I10,I16,I31,I45,I127,I142,I41,I49)</f>
        <v>176852</v>
      </c>
      <c r="J9" s="16">
        <f t="shared" ref="J9:J74" si="4">I9-H9</f>
        <v>0</v>
      </c>
      <c r="K9" s="16">
        <f>SUM(K10,K16,K31,K45,K127,K142,K41,K49)</f>
        <v>370096</v>
      </c>
      <c r="L9" s="16">
        <f>SUM(L10,L16,L31,L45,L127,L142,L41,L49)</f>
        <v>1048789</v>
      </c>
      <c r="M9" s="16">
        <f t="shared" ref="M9:M74" si="5">L9-K9</f>
        <v>678693</v>
      </c>
      <c r="N9" s="16">
        <f>SUM(N10,N16,N31,N45,N127,N142,N41,N49)</f>
        <v>8613282</v>
      </c>
      <c r="O9" s="16">
        <f>SUM(O10,O16,O31,O45,O127,O142,O41,O49)</f>
        <v>8613282</v>
      </c>
      <c r="P9" s="16">
        <f t="shared" ref="P9:P74" si="6">O9-N9</f>
        <v>0</v>
      </c>
      <c r="Q9" s="16">
        <f>SUM(Q10,Q16,Q31,Q45,Q127,Q142,Q41,Q49)</f>
        <v>96499</v>
      </c>
      <c r="R9" s="16">
        <f>SUM(R10,R16,R31,R45,R127,R142,R41,R49)</f>
        <v>212499</v>
      </c>
      <c r="S9" s="16">
        <f t="shared" ref="S9:S74" si="7">R9-Q9</f>
        <v>116000</v>
      </c>
      <c r="T9" s="16">
        <f>SUM(T10,T16,T31,T45,T127,T142,T41,T49)</f>
        <v>5053549</v>
      </c>
      <c r="U9" s="16">
        <f>SUM(U10,U16,U31,U45,U127,U142,U41,U49)</f>
        <v>5053549</v>
      </c>
      <c r="V9" s="16">
        <f t="shared" ref="V9:V74" si="8">U9-T9</f>
        <v>0</v>
      </c>
      <c r="W9" s="16">
        <f>SUM(W10,W16,W31,W45,W127,W142,W41,W49)</f>
        <v>0</v>
      </c>
      <c r="X9" s="16">
        <f>SUM(X10,X16,X31,X45,X127,X142,X41,X49)</f>
        <v>0</v>
      </c>
      <c r="Y9" s="16">
        <f t="shared" ref="Y9:Y74" si="9">X9-W9</f>
        <v>0</v>
      </c>
      <c r="Z9" s="16">
        <f>SUM(Z10,Z16,Z31,Z45,Z127,Z142,Z41,Z49)</f>
        <v>1884412</v>
      </c>
      <c r="AA9" s="16">
        <f>SUM(AA10,AA16,AA31,AA45,AA127,AA142,AA41,AA49)</f>
        <v>1884412</v>
      </c>
      <c r="AB9" s="16">
        <f t="shared" ref="AB9:AB74" si="10">AA9-Z9</f>
        <v>0</v>
      </c>
    </row>
    <row r="10" spans="1:189" s="17" customFormat="1" x14ac:dyDescent="0.25">
      <c r="A10" s="15" t="s">
        <v>12</v>
      </c>
      <c r="B10" s="16">
        <f t="shared" si="1"/>
        <v>269852</v>
      </c>
      <c r="C10" s="16">
        <f t="shared" si="2"/>
        <v>269852</v>
      </c>
      <c r="D10" s="16">
        <f t="shared" si="2"/>
        <v>0</v>
      </c>
      <c r="E10" s="16">
        <f t="shared" ref="E10:AA10" si="11">SUM(E11)</f>
        <v>260000</v>
      </c>
      <c r="F10" s="16">
        <f t="shared" si="11"/>
        <v>260000</v>
      </c>
      <c r="G10" s="16">
        <f t="shared" si="3"/>
        <v>0</v>
      </c>
      <c r="H10" s="16">
        <f t="shared" si="11"/>
        <v>6780</v>
      </c>
      <c r="I10" s="16">
        <f t="shared" si="11"/>
        <v>6780</v>
      </c>
      <c r="J10" s="16">
        <f t="shared" si="4"/>
        <v>0</v>
      </c>
      <c r="K10" s="16">
        <f t="shared" si="11"/>
        <v>3072</v>
      </c>
      <c r="L10" s="16">
        <f t="shared" si="11"/>
        <v>3072</v>
      </c>
      <c r="M10" s="16">
        <f t="shared" si="5"/>
        <v>0</v>
      </c>
      <c r="N10" s="16">
        <f t="shared" si="11"/>
        <v>0</v>
      </c>
      <c r="O10" s="16">
        <f t="shared" si="11"/>
        <v>0</v>
      </c>
      <c r="P10" s="16">
        <f t="shared" si="6"/>
        <v>0</v>
      </c>
      <c r="Q10" s="16">
        <f t="shared" si="11"/>
        <v>0</v>
      </c>
      <c r="R10" s="16">
        <f t="shared" si="11"/>
        <v>0</v>
      </c>
      <c r="S10" s="16">
        <f t="shared" si="7"/>
        <v>0</v>
      </c>
      <c r="T10" s="16">
        <f t="shared" si="11"/>
        <v>0</v>
      </c>
      <c r="U10" s="16">
        <f t="shared" si="11"/>
        <v>0</v>
      </c>
      <c r="V10" s="16">
        <f t="shared" si="8"/>
        <v>0</v>
      </c>
      <c r="W10" s="16">
        <f t="shared" si="11"/>
        <v>0</v>
      </c>
      <c r="X10" s="16">
        <f t="shared" si="11"/>
        <v>0</v>
      </c>
      <c r="Y10" s="16">
        <f t="shared" si="9"/>
        <v>0</v>
      </c>
      <c r="Z10" s="16">
        <f t="shared" si="11"/>
        <v>0</v>
      </c>
      <c r="AA10" s="16">
        <f t="shared" si="11"/>
        <v>0</v>
      </c>
      <c r="AB10" s="16">
        <f t="shared" si="10"/>
        <v>0</v>
      </c>
    </row>
    <row r="11" spans="1:189" s="14" customFormat="1" x14ac:dyDescent="0.25">
      <c r="A11" s="15" t="s">
        <v>13</v>
      </c>
      <c r="B11" s="18">
        <f t="shared" si="1"/>
        <v>269852</v>
      </c>
      <c r="C11" s="18">
        <f t="shared" si="2"/>
        <v>269852</v>
      </c>
      <c r="D11" s="18">
        <f t="shared" si="2"/>
        <v>0</v>
      </c>
      <c r="E11" s="18">
        <f t="shared" ref="E11:Z11" si="12">SUM(E12:E15)</f>
        <v>260000</v>
      </c>
      <c r="F11" s="18">
        <f t="shared" ref="F11" si="13">SUM(F12:F15)</f>
        <v>260000</v>
      </c>
      <c r="G11" s="18">
        <f t="shared" si="3"/>
        <v>0</v>
      </c>
      <c r="H11" s="18">
        <f t="shared" si="12"/>
        <v>6780</v>
      </c>
      <c r="I11" s="18">
        <f t="shared" ref="I11" si="14">SUM(I12:I15)</f>
        <v>6780</v>
      </c>
      <c r="J11" s="18">
        <f t="shared" si="4"/>
        <v>0</v>
      </c>
      <c r="K11" s="18">
        <f t="shared" si="12"/>
        <v>3072</v>
      </c>
      <c r="L11" s="18">
        <f t="shared" ref="L11" si="15">SUM(L12:L15)</f>
        <v>3072</v>
      </c>
      <c r="M11" s="18">
        <f t="shared" si="5"/>
        <v>0</v>
      </c>
      <c r="N11" s="18">
        <f t="shared" si="12"/>
        <v>0</v>
      </c>
      <c r="O11" s="18">
        <f t="shared" ref="O11" si="16">SUM(O12:O15)</f>
        <v>0</v>
      </c>
      <c r="P11" s="18">
        <f t="shared" si="6"/>
        <v>0</v>
      </c>
      <c r="Q11" s="18">
        <f t="shared" si="12"/>
        <v>0</v>
      </c>
      <c r="R11" s="18">
        <f t="shared" ref="R11" si="17">SUM(R12:R15)</f>
        <v>0</v>
      </c>
      <c r="S11" s="18">
        <f t="shared" si="7"/>
        <v>0</v>
      </c>
      <c r="T11" s="18">
        <f t="shared" si="12"/>
        <v>0</v>
      </c>
      <c r="U11" s="18">
        <f t="shared" ref="U11" si="18">SUM(U12:U15)</f>
        <v>0</v>
      </c>
      <c r="V11" s="18">
        <f t="shared" si="8"/>
        <v>0</v>
      </c>
      <c r="W11" s="18">
        <f t="shared" ref="W11" si="19">SUM(W12:W15)</f>
        <v>0</v>
      </c>
      <c r="X11" s="18">
        <f t="shared" ref="X11" si="20">SUM(X12:X15)</f>
        <v>0</v>
      </c>
      <c r="Y11" s="18">
        <f t="shared" si="9"/>
        <v>0</v>
      </c>
      <c r="Z11" s="18">
        <f t="shared" si="12"/>
        <v>0</v>
      </c>
      <c r="AA11" s="18">
        <f t="shared" ref="AA11" si="21">SUM(AA12:AA15)</f>
        <v>0</v>
      </c>
      <c r="AB11" s="18">
        <f t="shared" si="10"/>
        <v>0</v>
      </c>
    </row>
    <row r="12" spans="1:189" s="17" customFormat="1" ht="31.5" x14ac:dyDescent="0.25">
      <c r="A12" s="19" t="s">
        <v>14</v>
      </c>
      <c r="B12" s="20">
        <f t="shared" si="1"/>
        <v>260000</v>
      </c>
      <c r="C12" s="20">
        <f t="shared" si="2"/>
        <v>260000</v>
      </c>
      <c r="D12" s="20">
        <f t="shared" si="2"/>
        <v>0</v>
      </c>
      <c r="E12" s="20">
        <f>190000+70000</f>
        <v>260000</v>
      </c>
      <c r="F12" s="20">
        <f>190000+70000</f>
        <v>260000</v>
      </c>
      <c r="G12" s="20">
        <f t="shared" si="3"/>
        <v>0</v>
      </c>
      <c r="H12" s="20"/>
      <c r="I12" s="20"/>
      <c r="J12" s="20">
        <f t="shared" si="4"/>
        <v>0</v>
      </c>
      <c r="K12" s="20"/>
      <c r="L12" s="20"/>
      <c r="M12" s="20">
        <f t="shared" si="5"/>
        <v>0</v>
      </c>
      <c r="N12" s="20"/>
      <c r="O12" s="20"/>
      <c r="P12" s="20">
        <f t="shared" si="6"/>
        <v>0</v>
      </c>
      <c r="Q12" s="20"/>
      <c r="R12" s="20"/>
      <c r="S12" s="20">
        <f t="shared" si="7"/>
        <v>0</v>
      </c>
      <c r="T12" s="20"/>
      <c r="U12" s="20"/>
      <c r="V12" s="20">
        <f t="shared" si="8"/>
        <v>0</v>
      </c>
      <c r="W12" s="20"/>
      <c r="X12" s="20"/>
      <c r="Y12" s="20">
        <f t="shared" si="9"/>
        <v>0</v>
      </c>
      <c r="Z12" s="20"/>
      <c r="AA12" s="20"/>
      <c r="AB12" s="20">
        <f t="shared" si="10"/>
        <v>0</v>
      </c>
    </row>
    <row r="13" spans="1:189" s="17" customFormat="1" ht="47.25" x14ac:dyDescent="0.25">
      <c r="A13" s="19" t="s">
        <v>15</v>
      </c>
      <c r="B13" s="20">
        <f t="shared" si="1"/>
        <v>1290</v>
      </c>
      <c r="C13" s="20">
        <f t="shared" si="2"/>
        <v>1290</v>
      </c>
      <c r="D13" s="20">
        <f t="shared" si="2"/>
        <v>0</v>
      </c>
      <c r="E13" s="20"/>
      <c r="F13" s="20"/>
      <c r="G13" s="20">
        <f t="shared" si="3"/>
        <v>0</v>
      </c>
      <c r="H13" s="20"/>
      <c r="I13" s="20"/>
      <c r="J13" s="20">
        <f t="shared" si="4"/>
        <v>0</v>
      </c>
      <c r="K13" s="20">
        <v>1290</v>
      </c>
      <c r="L13" s="20">
        <v>1290</v>
      </c>
      <c r="M13" s="20">
        <f t="shared" si="5"/>
        <v>0</v>
      </c>
      <c r="N13" s="20"/>
      <c r="O13" s="20"/>
      <c r="P13" s="20">
        <f t="shared" si="6"/>
        <v>0</v>
      </c>
      <c r="Q13" s="20"/>
      <c r="R13" s="20"/>
      <c r="S13" s="20">
        <f t="shared" si="7"/>
        <v>0</v>
      </c>
      <c r="T13" s="20"/>
      <c r="U13" s="20"/>
      <c r="V13" s="20">
        <f t="shared" si="8"/>
        <v>0</v>
      </c>
      <c r="W13" s="20"/>
      <c r="X13" s="20"/>
      <c r="Y13" s="20">
        <f t="shared" si="9"/>
        <v>0</v>
      </c>
      <c r="Z13" s="20"/>
      <c r="AA13" s="20"/>
      <c r="AB13" s="20">
        <f t="shared" si="10"/>
        <v>0</v>
      </c>
    </row>
    <row r="14" spans="1:189" s="17" customFormat="1" ht="47.25" x14ac:dyDescent="0.25">
      <c r="A14" s="19" t="s">
        <v>16</v>
      </c>
      <c r="B14" s="20">
        <f t="shared" si="1"/>
        <v>6780</v>
      </c>
      <c r="C14" s="20">
        <f t="shared" si="2"/>
        <v>6780</v>
      </c>
      <c r="D14" s="20">
        <f t="shared" si="2"/>
        <v>0</v>
      </c>
      <c r="E14" s="20"/>
      <c r="F14" s="20"/>
      <c r="G14" s="20">
        <f t="shared" si="3"/>
        <v>0</v>
      </c>
      <c r="H14" s="20">
        <v>6780</v>
      </c>
      <c r="I14" s="20">
        <v>6780</v>
      </c>
      <c r="J14" s="20">
        <f t="shared" si="4"/>
        <v>0</v>
      </c>
      <c r="K14" s="20"/>
      <c r="L14" s="20"/>
      <c r="M14" s="20">
        <f t="shared" si="5"/>
        <v>0</v>
      </c>
      <c r="N14" s="20"/>
      <c r="O14" s="20"/>
      <c r="P14" s="20">
        <f t="shared" si="6"/>
        <v>0</v>
      </c>
      <c r="Q14" s="20"/>
      <c r="R14" s="20"/>
      <c r="S14" s="20">
        <f t="shared" si="7"/>
        <v>0</v>
      </c>
      <c r="T14" s="20"/>
      <c r="U14" s="20"/>
      <c r="V14" s="20">
        <f t="shared" si="8"/>
        <v>0</v>
      </c>
      <c r="W14" s="20"/>
      <c r="X14" s="20"/>
      <c r="Y14" s="20">
        <f t="shared" si="9"/>
        <v>0</v>
      </c>
      <c r="Z14" s="20"/>
      <c r="AA14" s="20"/>
      <c r="AB14" s="20">
        <f t="shared" si="10"/>
        <v>0</v>
      </c>
    </row>
    <row r="15" spans="1:189" s="17" customFormat="1" ht="31.5" x14ac:dyDescent="0.25">
      <c r="A15" s="19" t="s">
        <v>17</v>
      </c>
      <c r="B15" s="20">
        <f t="shared" si="1"/>
        <v>1782</v>
      </c>
      <c r="C15" s="20">
        <f t="shared" si="2"/>
        <v>1782</v>
      </c>
      <c r="D15" s="20">
        <f t="shared" si="2"/>
        <v>0</v>
      </c>
      <c r="E15" s="20"/>
      <c r="F15" s="20"/>
      <c r="G15" s="20">
        <f t="shared" si="3"/>
        <v>0</v>
      </c>
      <c r="H15" s="20"/>
      <c r="I15" s="20"/>
      <c r="J15" s="20">
        <f t="shared" si="4"/>
        <v>0</v>
      </c>
      <c r="K15" s="20">
        <v>1782</v>
      </c>
      <c r="L15" s="20">
        <v>1782</v>
      </c>
      <c r="M15" s="20">
        <f t="shared" si="5"/>
        <v>0</v>
      </c>
      <c r="N15" s="20"/>
      <c r="O15" s="20"/>
      <c r="P15" s="20">
        <f t="shared" si="6"/>
        <v>0</v>
      </c>
      <c r="Q15" s="20"/>
      <c r="R15" s="20"/>
      <c r="S15" s="20">
        <f t="shared" si="7"/>
        <v>0</v>
      </c>
      <c r="T15" s="20"/>
      <c r="U15" s="20"/>
      <c r="V15" s="20">
        <f t="shared" si="8"/>
        <v>0</v>
      </c>
      <c r="W15" s="20"/>
      <c r="X15" s="20"/>
      <c r="Y15" s="20">
        <f t="shared" si="9"/>
        <v>0</v>
      </c>
      <c r="Z15" s="20"/>
      <c r="AA15" s="20"/>
      <c r="AB15" s="20">
        <f t="shared" si="10"/>
        <v>0</v>
      </c>
    </row>
    <row r="16" spans="1:189" s="14" customFormat="1" x14ac:dyDescent="0.25">
      <c r="A16" s="21" t="s">
        <v>18</v>
      </c>
      <c r="B16" s="18">
        <f t="shared" si="1"/>
        <v>1027936</v>
      </c>
      <c r="C16" s="18">
        <f t="shared" si="2"/>
        <v>1027936</v>
      </c>
      <c r="D16" s="18">
        <f t="shared" si="2"/>
        <v>0</v>
      </c>
      <c r="E16" s="18">
        <f t="shared" ref="E16:AA16" si="22">SUM(E17)</f>
        <v>160000</v>
      </c>
      <c r="F16" s="18">
        <f t="shared" si="22"/>
        <v>160000</v>
      </c>
      <c r="G16" s="18">
        <f t="shared" si="3"/>
        <v>0</v>
      </c>
      <c r="H16" s="18">
        <f t="shared" si="22"/>
        <v>0</v>
      </c>
      <c r="I16" s="18">
        <f t="shared" si="22"/>
        <v>0</v>
      </c>
      <c r="J16" s="18">
        <f t="shared" si="4"/>
        <v>0</v>
      </c>
      <c r="K16" s="18">
        <f t="shared" si="22"/>
        <v>0</v>
      </c>
      <c r="L16" s="18">
        <f t="shared" si="22"/>
        <v>0</v>
      </c>
      <c r="M16" s="18">
        <f t="shared" si="5"/>
        <v>0</v>
      </c>
      <c r="N16" s="18">
        <f t="shared" si="22"/>
        <v>0</v>
      </c>
      <c r="O16" s="18">
        <f t="shared" si="22"/>
        <v>0</v>
      </c>
      <c r="P16" s="18">
        <f t="shared" si="6"/>
        <v>0</v>
      </c>
      <c r="Q16" s="18">
        <f t="shared" si="22"/>
        <v>10000</v>
      </c>
      <c r="R16" s="18">
        <f t="shared" si="22"/>
        <v>10000</v>
      </c>
      <c r="S16" s="18">
        <f t="shared" si="7"/>
        <v>0</v>
      </c>
      <c r="T16" s="18">
        <f t="shared" si="22"/>
        <v>807624</v>
      </c>
      <c r="U16" s="18">
        <f t="shared" si="22"/>
        <v>807624</v>
      </c>
      <c r="V16" s="18">
        <f t="shared" si="8"/>
        <v>0</v>
      </c>
      <c r="W16" s="18">
        <f t="shared" si="22"/>
        <v>0</v>
      </c>
      <c r="X16" s="18">
        <f t="shared" si="22"/>
        <v>0</v>
      </c>
      <c r="Y16" s="18">
        <f t="shared" si="9"/>
        <v>0</v>
      </c>
      <c r="Z16" s="18">
        <f t="shared" si="22"/>
        <v>50312</v>
      </c>
      <c r="AA16" s="18">
        <f t="shared" si="22"/>
        <v>50312</v>
      </c>
      <c r="AB16" s="18">
        <f t="shared" si="10"/>
        <v>0</v>
      </c>
    </row>
    <row r="17" spans="1:189" s="14" customFormat="1" x14ac:dyDescent="0.25">
      <c r="A17" s="15" t="s">
        <v>13</v>
      </c>
      <c r="B17" s="18">
        <f t="shared" si="1"/>
        <v>1027936</v>
      </c>
      <c r="C17" s="18">
        <f t="shared" si="2"/>
        <v>1027936</v>
      </c>
      <c r="D17" s="18">
        <f t="shared" si="2"/>
        <v>0</v>
      </c>
      <c r="E17" s="18">
        <f t="shared" ref="E17:Z17" si="23">SUM(E18:E30)</f>
        <v>160000</v>
      </c>
      <c r="F17" s="18">
        <f t="shared" ref="F17" si="24">SUM(F18:F30)</f>
        <v>160000</v>
      </c>
      <c r="G17" s="18">
        <f t="shared" si="3"/>
        <v>0</v>
      </c>
      <c r="H17" s="18">
        <f t="shared" si="23"/>
        <v>0</v>
      </c>
      <c r="I17" s="18">
        <f t="shared" ref="I17" si="25">SUM(I18:I30)</f>
        <v>0</v>
      </c>
      <c r="J17" s="18">
        <f t="shared" si="4"/>
        <v>0</v>
      </c>
      <c r="K17" s="18">
        <f t="shared" si="23"/>
        <v>0</v>
      </c>
      <c r="L17" s="18">
        <f t="shared" ref="L17" si="26">SUM(L18:L30)</f>
        <v>0</v>
      </c>
      <c r="M17" s="18">
        <f t="shared" si="5"/>
        <v>0</v>
      </c>
      <c r="N17" s="18">
        <f t="shared" si="23"/>
        <v>0</v>
      </c>
      <c r="O17" s="18">
        <f t="shared" ref="O17" si="27">SUM(O18:O30)</f>
        <v>0</v>
      </c>
      <c r="P17" s="18">
        <f t="shared" si="6"/>
        <v>0</v>
      </c>
      <c r="Q17" s="18">
        <f t="shared" si="23"/>
        <v>10000</v>
      </c>
      <c r="R17" s="18">
        <f t="shared" ref="R17" si="28">SUM(R18:R30)</f>
        <v>10000</v>
      </c>
      <c r="S17" s="18">
        <f t="shared" si="7"/>
        <v>0</v>
      </c>
      <c r="T17" s="18">
        <f t="shared" si="23"/>
        <v>807624</v>
      </c>
      <c r="U17" s="18">
        <f t="shared" ref="U17" si="29">SUM(U18:U30)</f>
        <v>807624</v>
      </c>
      <c r="V17" s="18">
        <f t="shared" si="8"/>
        <v>0</v>
      </c>
      <c r="W17" s="18">
        <f t="shared" ref="W17" si="30">SUM(W18:W30)</f>
        <v>0</v>
      </c>
      <c r="X17" s="18">
        <f t="shared" ref="X17" si="31">SUM(X18:X30)</f>
        <v>0</v>
      </c>
      <c r="Y17" s="18">
        <f t="shared" si="9"/>
        <v>0</v>
      </c>
      <c r="Z17" s="18">
        <f t="shared" si="23"/>
        <v>50312</v>
      </c>
      <c r="AA17" s="18">
        <f t="shared" ref="AA17" si="32">SUM(AA18:AA30)</f>
        <v>50312</v>
      </c>
      <c r="AB17" s="18">
        <f t="shared" si="10"/>
        <v>0</v>
      </c>
    </row>
    <row r="18" spans="1:189" s="17" customFormat="1" x14ac:dyDescent="0.25">
      <c r="A18" s="22" t="s">
        <v>19</v>
      </c>
      <c r="B18" s="23">
        <f t="shared" si="1"/>
        <v>110000</v>
      </c>
      <c r="C18" s="23">
        <f t="shared" si="2"/>
        <v>110000</v>
      </c>
      <c r="D18" s="23">
        <f t="shared" si="2"/>
        <v>0</v>
      </c>
      <c r="E18" s="23">
        <v>110000</v>
      </c>
      <c r="F18" s="23">
        <v>110000</v>
      </c>
      <c r="G18" s="23">
        <f t="shared" si="3"/>
        <v>0</v>
      </c>
      <c r="H18" s="23"/>
      <c r="I18" s="23"/>
      <c r="J18" s="23">
        <f t="shared" si="4"/>
        <v>0</v>
      </c>
      <c r="K18" s="23">
        <v>0</v>
      </c>
      <c r="L18" s="23">
        <v>0</v>
      </c>
      <c r="M18" s="23">
        <f t="shared" si="5"/>
        <v>0</v>
      </c>
      <c r="N18" s="23"/>
      <c r="O18" s="23"/>
      <c r="P18" s="23">
        <f t="shared" si="6"/>
        <v>0</v>
      </c>
      <c r="Q18" s="23"/>
      <c r="R18" s="23"/>
      <c r="S18" s="23">
        <f t="shared" si="7"/>
        <v>0</v>
      </c>
      <c r="T18" s="23"/>
      <c r="U18" s="23"/>
      <c r="V18" s="23">
        <f t="shared" si="8"/>
        <v>0</v>
      </c>
      <c r="W18" s="23"/>
      <c r="X18" s="23"/>
      <c r="Y18" s="23">
        <f t="shared" si="9"/>
        <v>0</v>
      </c>
      <c r="Z18" s="23"/>
      <c r="AA18" s="23"/>
      <c r="AB18" s="23">
        <f t="shared" si="10"/>
        <v>0</v>
      </c>
    </row>
    <row r="19" spans="1:189" s="17" customFormat="1" x14ac:dyDescent="0.25">
      <c r="A19" s="22" t="s">
        <v>20</v>
      </c>
      <c r="B19" s="23">
        <f t="shared" si="1"/>
        <v>10000</v>
      </c>
      <c r="C19" s="23">
        <f t="shared" si="2"/>
        <v>10000</v>
      </c>
      <c r="D19" s="23">
        <f t="shared" si="2"/>
        <v>0</v>
      </c>
      <c r="E19" s="23"/>
      <c r="F19" s="23"/>
      <c r="G19" s="23">
        <f t="shared" si="3"/>
        <v>0</v>
      </c>
      <c r="H19" s="23"/>
      <c r="I19" s="23"/>
      <c r="J19" s="23">
        <f t="shared" si="4"/>
        <v>0</v>
      </c>
      <c r="K19" s="23"/>
      <c r="L19" s="23"/>
      <c r="M19" s="23">
        <f t="shared" si="5"/>
        <v>0</v>
      </c>
      <c r="N19" s="23"/>
      <c r="O19" s="23"/>
      <c r="P19" s="23">
        <f t="shared" si="6"/>
        <v>0</v>
      </c>
      <c r="Q19" s="23">
        <v>10000</v>
      </c>
      <c r="R19" s="23">
        <v>10000</v>
      </c>
      <c r="S19" s="23">
        <f t="shared" si="7"/>
        <v>0</v>
      </c>
      <c r="T19" s="23"/>
      <c r="U19" s="23"/>
      <c r="V19" s="23">
        <f t="shared" si="8"/>
        <v>0</v>
      </c>
      <c r="W19" s="23"/>
      <c r="X19" s="23"/>
      <c r="Y19" s="23">
        <f t="shared" si="9"/>
        <v>0</v>
      </c>
      <c r="Z19" s="23">
        <v>0</v>
      </c>
      <c r="AA19" s="23">
        <v>0</v>
      </c>
      <c r="AB19" s="23">
        <f t="shared" si="10"/>
        <v>0</v>
      </c>
    </row>
    <row r="20" spans="1:189" s="17" customFormat="1" ht="31.5" x14ac:dyDescent="0.25">
      <c r="A20" s="24" t="s">
        <v>21</v>
      </c>
      <c r="B20" s="23">
        <f t="shared" si="1"/>
        <v>29003</v>
      </c>
      <c r="C20" s="23">
        <f t="shared" si="2"/>
        <v>29003</v>
      </c>
      <c r="D20" s="23">
        <f t="shared" si="2"/>
        <v>0</v>
      </c>
      <c r="E20" s="23"/>
      <c r="F20" s="23"/>
      <c r="G20" s="23">
        <f t="shared" si="3"/>
        <v>0</v>
      </c>
      <c r="H20" s="23"/>
      <c r="I20" s="23"/>
      <c r="J20" s="23">
        <f t="shared" si="4"/>
        <v>0</v>
      </c>
      <c r="K20" s="23"/>
      <c r="L20" s="23"/>
      <c r="M20" s="23">
        <f t="shared" si="5"/>
        <v>0</v>
      </c>
      <c r="N20" s="23"/>
      <c r="O20" s="23"/>
      <c r="P20" s="23">
        <f t="shared" si="6"/>
        <v>0</v>
      </c>
      <c r="Q20" s="23"/>
      <c r="R20" s="23"/>
      <c r="S20" s="23">
        <f t="shared" si="7"/>
        <v>0</v>
      </c>
      <c r="T20" s="23">
        <v>29003</v>
      </c>
      <c r="U20" s="23">
        <v>29003</v>
      </c>
      <c r="V20" s="23">
        <f t="shared" si="8"/>
        <v>0</v>
      </c>
      <c r="W20" s="23"/>
      <c r="X20" s="23"/>
      <c r="Y20" s="23">
        <f t="shared" si="9"/>
        <v>0</v>
      </c>
      <c r="Z20" s="23"/>
      <c r="AA20" s="23"/>
      <c r="AB20" s="23">
        <f t="shared" si="10"/>
        <v>0</v>
      </c>
    </row>
    <row r="21" spans="1:189" s="17" customFormat="1" ht="78.75" x14ac:dyDescent="0.25">
      <c r="A21" s="24" t="s">
        <v>22</v>
      </c>
      <c r="B21" s="23">
        <f t="shared" si="1"/>
        <v>71877</v>
      </c>
      <c r="C21" s="23">
        <f t="shared" si="2"/>
        <v>71877</v>
      </c>
      <c r="D21" s="23">
        <f t="shared" si="2"/>
        <v>0</v>
      </c>
      <c r="E21" s="23"/>
      <c r="F21" s="23"/>
      <c r="G21" s="23">
        <f t="shared" si="3"/>
        <v>0</v>
      </c>
      <c r="H21" s="23"/>
      <c r="I21" s="23"/>
      <c r="J21" s="23">
        <f t="shared" si="4"/>
        <v>0</v>
      </c>
      <c r="K21" s="23"/>
      <c r="L21" s="23"/>
      <c r="M21" s="23">
        <f t="shared" si="5"/>
        <v>0</v>
      </c>
      <c r="N21" s="23"/>
      <c r="O21" s="23"/>
      <c r="P21" s="23">
        <f t="shared" si="6"/>
        <v>0</v>
      </c>
      <c r="Q21" s="23"/>
      <c r="R21" s="23"/>
      <c r="S21" s="23">
        <f t="shared" si="7"/>
        <v>0</v>
      </c>
      <c r="T21" s="23">
        <v>71877</v>
      </c>
      <c r="U21" s="23">
        <v>71877</v>
      </c>
      <c r="V21" s="23">
        <f t="shared" si="8"/>
        <v>0</v>
      </c>
      <c r="W21" s="23"/>
      <c r="X21" s="23"/>
      <c r="Y21" s="23">
        <f t="shared" si="9"/>
        <v>0</v>
      </c>
      <c r="Z21" s="23"/>
      <c r="AA21" s="23"/>
      <c r="AB21" s="23">
        <f t="shared" si="10"/>
        <v>0</v>
      </c>
    </row>
    <row r="22" spans="1:189" s="17" customFormat="1" ht="47.25" x14ac:dyDescent="0.25">
      <c r="A22" s="24" t="s">
        <v>23</v>
      </c>
      <c r="B22" s="23">
        <f t="shared" si="1"/>
        <v>230400</v>
      </c>
      <c r="C22" s="23">
        <f t="shared" si="2"/>
        <v>230400</v>
      </c>
      <c r="D22" s="23">
        <f t="shared" si="2"/>
        <v>0</v>
      </c>
      <c r="E22" s="23"/>
      <c r="F22" s="23"/>
      <c r="G22" s="23">
        <f t="shared" si="3"/>
        <v>0</v>
      </c>
      <c r="H22" s="23"/>
      <c r="I22" s="23"/>
      <c r="J22" s="23">
        <f t="shared" si="4"/>
        <v>0</v>
      </c>
      <c r="K22" s="23"/>
      <c r="L22" s="23"/>
      <c r="M22" s="23">
        <f t="shared" si="5"/>
        <v>0</v>
      </c>
      <c r="N22" s="23"/>
      <c r="O22" s="23"/>
      <c r="P22" s="23">
        <f t="shared" si="6"/>
        <v>0</v>
      </c>
      <c r="Q22" s="23"/>
      <c r="R22" s="23"/>
      <c r="S22" s="23">
        <f t="shared" si="7"/>
        <v>0</v>
      </c>
      <c r="T22" s="23">
        <v>230400</v>
      </c>
      <c r="U22" s="23">
        <v>230400</v>
      </c>
      <c r="V22" s="23">
        <f t="shared" si="8"/>
        <v>0</v>
      </c>
      <c r="W22" s="23"/>
      <c r="X22" s="23"/>
      <c r="Y22" s="23">
        <f t="shared" si="9"/>
        <v>0</v>
      </c>
      <c r="Z22" s="23"/>
      <c r="AA22" s="23"/>
      <c r="AB22" s="23">
        <f t="shared" si="10"/>
        <v>0</v>
      </c>
    </row>
    <row r="23" spans="1:189" s="17" customFormat="1" ht="47.25" x14ac:dyDescent="0.25">
      <c r="A23" s="24" t="s">
        <v>24</v>
      </c>
      <c r="B23" s="23">
        <f t="shared" si="1"/>
        <v>1645</v>
      </c>
      <c r="C23" s="23">
        <f t="shared" si="2"/>
        <v>1645</v>
      </c>
      <c r="D23" s="23">
        <f t="shared" si="2"/>
        <v>0</v>
      </c>
      <c r="E23" s="23"/>
      <c r="F23" s="23"/>
      <c r="G23" s="23">
        <f t="shared" si="3"/>
        <v>0</v>
      </c>
      <c r="H23" s="23"/>
      <c r="I23" s="23"/>
      <c r="J23" s="23">
        <f t="shared" si="4"/>
        <v>0</v>
      </c>
      <c r="K23" s="23"/>
      <c r="L23" s="23"/>
      <c r="M23" s="23">
        <f t="shared" si="5"/>
        <v>0</v>
      </c>
      <c r="N23" s="23"/>
      <c r="O23" s="23"/>
      <c r="P23" s="23">
        <f t="shared" si="6"/>
        <v>0</v>
      </c>
      <c r="Q23" s="23"/>
      <c r="R23" s="23"/>
      <c r="S23" s="23">
        <f t="shared" si="7"/>
        <v>0</v>
      </c>
      <c r="T23" s="23">
        <v>1645</v>
      </c>
      <c r="U23" s="23">
        <v>1645</v>
      </c>
      <c r="V23" s="23">
        <f t="shared" si="8"/>
        <v>0</v>
      </c>
      <c r="W23" s="23"/>
      <c r="X23" s="23"/>
      <c r="Y23" s="23">
        <f t="shared" si="9"/>
        <v>0</v>
      </c>
      <c r="Z23" s="23"/>
      <c r="AA23" s="23"/>
      <c r="AB23" s="23">
        <f t="shared" si="10"/>
        <v>0</v>
      </c>
    </row>
    <row r="24" spans="1:189" s="17" customFormat="1" ht="31.5" x14ac:dyDescent="0.25">
      <c r="A24" s="24" t="s">
        <v>25</v>
      </c>
      <c r="B24" s="23">
        <f t="shared" si="1"/>
        <v>81383</v>
      </c>
      <c r="C24" s="23">
        <f t="shared" si="2"/>
        <v>81383</v>
      </c>
      <c r="D24" s="23">
        <f t="shared" si="2"/>
        <v>0</v>
      </c>
      <c r="E24" s="23"/>
      <c r="F24" s="23"/>
      <c r="G24" s="23">
        <f t="shared" si="3"/>
        <v>0</v>
      </c>
      <c r="H24" s="23"/>
      <c r="I24" s="23"/>
      <c r="J24" s="23">
        <f t="shared" si="4"/>
        <v>0</v>
      </c>
      <c r="K24" s="23"/>
      <c r="L24" s="23"/>
      <c r="M24" s="23">
        <f t="shared" si="5"/>
        <v>0</v>
      </c>
      <c r="N24" s="23"/>
      <c r="O24" s="23"/>
      <c r="P24" s="23">
        <f t="shared" si="6"/>
        <v>0</v>
      </c>
      <c r="Q24" s="23"/>
      <c r="R24" s="23"/>
      <c r="S24" s="23">
        <f t="shared" si="7"/>
        <v>0</v>
      </c>
      <c r="T24" s="23">
        <v>81383</v>
      </c>
      <c r="U24" s="23">
        <v>81383</v>
      </c>
      <c r="V24" s="23">
        <f t="shared" si="8"/>
        <v>0</v>
      </c>
      <c r="W24" s="23"/>
      <c r="X24" s="23"/>
      <c r="Y24" s="23">
        <f t="shared" si="9"/>
        <v>0</v>
      </c>
      <c r="Z24" s="23"/>
      <c r="AA24" s="23"/>
      <c r="AB24" s="23">
        <f t="shared" si="10"/>
        <v>0</v>
      </c>
    </row>
    <row r="25" spans="1:189" s="17" customFormat="1" ht="78.75" x14ac:dyDescent="0.25">
      <c r="A25" s="24" t="s">
        <v>26</v>
      </c>
      <c r="B25" s="23">
        <f t="shared" si="1"/>
        <v>15796</v>
      </c>
      <c r="C25" s="23">
        <f t="shared" ref="C25:D42" si="33">F25+I25+L25+O25+R25+U25+AA25</f>
        <v>15796</v>
      </c>
      <c r="D25" s="23">
        <f t="shared" si="33"/>
        <v>0</v>
      </c>
      <c r="E25" s="23"/>
      <c r="F25" s="23"/>
      <c r="G25" s="23">
        <f t="shared" si="3"/>
        <v>0</v>
      </c>
      <c r="H25" s="23"/>
      <c r="I25" s="23"/>
      <c r="J25" s="23">
        <f t="shared" si="4"/>
        <v>0</v>
      </c>
      <c r="K25" s="23"/>
      <c r="L25" s="23"/>
      <c r="M25" s="23">
        <f t="shared" si="5"/>
        <v>0</v>
      </c>
      <c r="N25" s="23"/>
      <c r="O25" s="23"/>
      <c r="P25" s="23">
        <f t="shared" si="6"/>
        <v>0</v>
      </c>
      <c r="Q25" s="23"/>
      <c r="R25" s="23"/>
      <c r="S25" s="23">
        <f t="shared" si="7"/>
        <v>0</v>
      </c>
      <c r="T25" s="23">
        <v>15796</v>
      </c>
      <c r="U25" s="23">
        <v>15796</v>
      </c>
      <c r="V25" s="23">
        <f t="shared" si="8"/>
        <v>0</v>
      </c>
      <c r="W25" s="23"/>
      <c r="X25" s="23"/>
      <c r="Y25" s="23">
        <f t="shared" si="9"/>
        <v>0</v>
      </c>
      <c r="Z25" s="23"/>
      <c r="AA25" s="23"/>
      <c r="AB25" s="23">
        <f t="shared" si="10"/>
        <v>0</v>
      </c>
    </row>
    <row r="26" spans="1:189" s="17" customFormat="1" ht="78.75" x14ac:dyDescent="0.25">
      <c r="A26" s="22" t="s">
        <v>27</v>
      </c>
      <c r="B26" s="20">
        <f t="shared" si="1"/>
        <v>9866</v>
      </c>
      <c r="C26" s="20">
        <f t="shared" si="33"/>
        <v>9866</v>
      </c>
      <c r="D26" s="20">
        <f t="shared" si="33"/>
        <v>0</v>
      </c>
      <c r="E26" s="20"/>
      <c r="F26" s="20"/>
      <c r="G26" s="20">
        <f t="shared" si="3"/>
        <v>0</v>
      </c>
      <c r="H26" s="20"/>
      <c r="I26" s="20"/>
      <c r="J26" s="20">
        <f t="shared" si="4"/>
        <v>0</v>
      </c>
      <c r="K26" s="20"/>
      <c r="L26" s="20"/>
      <c r="M26" s="20">
        <f t="shared" si="5"/>
        <v>0</v>
      </c>
      <c r="N26" s="20"/>
      <c r="O26" s="20"/>
      <c r="P26" s="20">
        <f t="shared" si="6"/>
        <v>0</v>
      </c>
      <c r="Q26" s="20"/>
      <c r="R26" s="20"/>
      <c r="S26" s="20">
        <f t="shared" si="7"/>
        <v>0</v>
      </c>
      <c r="T26" s="20">
        <f>1876+7990</f>
        <v>9866</v>
      </c>
      <c r="U26" s="20">
        <f>1876+7990</f>
        <v>9866</v>
      </c>
      <c r="V26" s="20">
        <f t="shared" si="8"/>
        <v>0</v>
      </c>
      <c r="W26" s="20"/>
      <c r="X26" s="20"/>
      <c r="Y26" s="20">
        <f t="shared" si="9"/>
        <v>0</v>
      </c>
      <c r="Z26" s="20"/>
      <c r="AA26" s="20"/>
      <c r="AB26" s="20">
        <f t="shared" si="10"/>
        <v>0</v>
      </c>
    </row>
    <row r="27" spans="1:189" s="17" customFormat="1" ht="94.5" x14ac:dyDescent="0.25">
      <c r="A27" s="24" t="s">
        <v>28</v>
      </c>
      <c r="B27" s="23">
        <f t="shared" si="1"/>
        <v>122493</v>
      </c>
      <c r="C27" s="23">
        <f t="shared" si="33"/>
        <v>122493</v>
      </c>
      <c r="D27" s="23">
        <f t="shared" si="33"/>
        <v>0</v>
      </c>
      <c r="E27" s="23">
        <v>50000</v>
      </c>
      <c r="F27" s="23">
        <v>50000</v>
      </c>
      <c r="G27" s="23">
        <f t="shared" si="3"/>
        <v>0</v>
      </c>
      <c r="H27" s="23"/>
      <c r="I27" s="23"/>
      <c r="J27" s="23">
        <f t="shared" si="4"/>
        <v>0</v>
      </c>
      <c r="K27" s="23"/>
      <c r="L27" s="23"/>
      <c r="M27" s="23">
        <f t="shared" si="5"/>
        <v>0</v>
      </c>
      <c r="N27" s="23"/>
      <c r="O27" s="23"/>
      <c r="P27" s="23">
        <f t="shared" si="6"/>
        <v>0</v>
      </c>
      <c r="Q27" s="23"/>
      <c r="R27" s="23"/>
      <c r="S27" s="23">
        <f t="shared" si="7"/>
        <v>0</v>
      </c>
      <c r="T27" s="23">
        <v>72493</v>
      </c>
      <c r="U27" s="23">
        <v>72493</v>
      </c>
      <c r="V27" s="23">
        <f t="shared" si="8"/>
        <v>0</v>
      </c>
      <c r="W27" s="23"/>
      <c r="X27" s="23"/>
      <c r="Y27" s="23">
        <f t="shared" si="9"/>
        <v>0</v>
      </c>
      <c r="Z27" s="23"/>
      <c r="AA27" s="23"/>
      <c r="AB27" s="23">
        <f t="shared" si="10"/>
        <v>0</v>
      </c>
    </row>
    <row r="28" spans="1:189" s="17" customFormat="1" ht="94.5" x14ac:dyDescent="0.25">
      <c r="A28" s="22" t="s">
        <v>29</v>
      </c>
      <c r="B28" s="20">
        <f t="shared" si="1"/>
        <v>187653</v>
      </c>
      <c r="C28" s="20">
        <f t="shared" si="33"/>
        <v>187653</v>
      </c>
      <c r="D28" s="20">
        <f t="shared" si="33"/>
        <v>0</v>
      </c>
      <c r="E28" s="20"/>
      <c r="F28" s="20"/>
      <c r="G28" s="20">
        <f t="shared" si="3"/>
        <v>0</v>
      </c>
      <c r="H28" s="20"/>
      <c r="I28" s="20"/>
      <c r="J28" s="20">
        <f t="shared" si="4"/>
        <v>0</v>
      </c>
      <c r="K28" s="20"/>
      <c r="L28" s="20"/>
      <c r="M28" s="20">
        <f t="shared" si="5"/>
        <v>0</v>
      </c>
      <c r="N28" s="20"/>
      <c r="O28" s="20"/>
      <c r="P28" s="20">
        <f t="shared" si="6"/>
        <v>0</v>
      </c>
      <c r="Q28" s="20"/>
      <c r="R28" s="20"/>
      <c r="S28" s="20">
        <f t="shared" si="7"/>
        <v>0</v>
      </c>
      <c r="T28" s="20">
        <f>187653</f>
        <v>187653</v>
      </c>
      <c r="U28" s="20">
        <f>187653</f>
        <v>187653</v>
      </c>
      <c r="V28" s="20">
        <f t="shared" si="8"/>
        <v>0</v>
      </c>
      <c r="W28" s="20"/>
      <c r="X28" s="20"/>
      <c r="Y28" s="20">
        <f t="shared" si="9"/>
        <v>0</v>
      </c>
      <c r="Z28" s="20"/>
      <c r="AA28" s="20"/>
      <c r="AB28" s="20">
        <f t="shared" si="10"/>
        <v>0</v>
      </c>
    </row>
    <row r="29" spans="1:189" s="17" customFormat="1" ht="47.25" x14ac:dyDescent="0.25">
      <c r="A29" s="22" t="s">
        <v>30</v>
      </c>
      <c r="B29" s="20">
        <f t="shared" si="1"/>
        <v>57197</v>
      </c>
      <c r="C29" s="20">
        <f t="shared" si="33"/>
        <v>57197</v>
      </c>
      <c r="D29" s="20">
        <f t="shared" si="33"/>
        <v>0</v>
      </c>
      <c r="E29" s="20"/>
      <c r="F29" s="20"/>
      <c r="G29" s="20">
        <f t="shared" si="3"/>
        <v>0</v>
      </c>
      <c r="H29" s="20"/>
      <c r="I29" s="20"/>
      <c r="J29" s="20">
        <f t="shared" si="4"/>
        <v>0</v>
      </c>
      <c r="K29" s="20"/>
      <c r="L29" s="20"/>
      <c r="M29" s="20">
        <f t="shared" si="5"/>
        <v>0</v>
      </c>
      <c r="N29" s="20"/>
      <c r="O29" s="20"/>
      <c r="P29" s="20">
        <f t="shared" si="6"/>
        <v>0</v>
      </c>
      <c r="Q29" s="20"/>
      <c r="R29" s="20"/>
      <c r="S29" s="20">
        <f t="shared" si="7"/>
        <v>0</v>
      </c>
      <c r="T29" s="20">
        <v>57197</v>
      </c>
      <c r="U29" s="20">
        <v>57197</v>
      </c>
      <c r="V29" s="20">
        <f t="shared" si="8"/>
        <v>0</v>
      </c>
      <c r="W29" s="20"/>
      <c r="X29" s="20"/>
      <c r="Y29" s="20">
        <f t="shared" si="9"/>
        <v>0</v>
      </c>
      <c r="Z29" s="20"/>
      <c r="AA29" s="20"/>
      <c r="AB29" s="20">
        <f t="shared" si="10"/>
        <v>0</v>
      </c>
    </row>
    <row r="30" spans="1:189" s="17" customFormat="1" ht="47.25" x14ac:dyDescent="0.25">
      <c r="A30" s="22" t="s">
        <v>31</v>
      </c>
      <c r="B30" s="20">
        <f t="shared" si="1"/>
        <v>100623</v>
      </c>
      <c r="C30" s="20">
        <f t="shared" si="33"/>
        <v>100623</v>
      </c>
      <c r="D30" s="20">
        <f t="shared" si="33"/>
        <v>0</v>
      </c>
      <c r="E30" s="20"/>
      <c r="F30" s="20"/>
      <c r="G30" s="20">
        <f t="shared" si="3"/>
        <v>0</v>
      </c>
      <c r="H30" s="20"/>
      <c r="I30" s="20"/>
      <c r="J30" s="20">
        <f t="shared" si="4"/>
        <v>0</v>
      </c>
      <c r="K30" s="20"/>
      <c r="L30" s="20"/>
      <c r="M30" s="20">
        <f t="shared" si="5"/>
        <v>0</v>
      </c>
      <c r="N30" s="20"/>
      <c r="O30" s="20"/>
      <c r="P30" s="20">
        <f t="shared" si="6"/>
        <v>0</v>
      </c>
      <c r="Q30" s="20"/>
      <c r="R30" s="20"/>
      <c r="S30" s="20">
        <f t="shared" si="7"/>
        <v>0</v>
      </c>
      <c r="T30" s="20">
        <v>50311</v>
      </c>
      <c r="U30" s="20">
        <v>50311</v>
      </c>
      <c r="V30" s="20">
        <f t="shared" si="8"/>
        <v>0</v>
      </c>
      <c r="W30" s="20"/>
      <c r="X30" s="20"/>
      <c r="Y30" s="20">
        <f t="shared" si="9"/>
        <v>0</v>
      </c>
      <c r="Z30" s="20">
        <v>50312</v>
      </c>
      <c r="AA30" s="20">
        <v>50312</v>
      </c>
      <c r="AB30" s="20">
        <f t="shared" si="10"/>
        <v>0</v>
      </c>
    </row>
    <row r="31" spans="1:189" s="17" customFormat="1" x14ac:dyDescent="0.25">
      <c r="A31" s="15" t="s">
        <v>32</v>
      </c>
      <c r="B31" s="16">
        <f t="shared" si="1"/>
        <v>1784100</v>
      </c>
      <c r="C31" s="16">
        <f t="shared" si="33"/>
        <v>2087273</v>
      </c>
      <c r="D31" s="16">
        <f t="shared" si="33"/>
        <v>303173</v>
      </c>
      <c r="E31" s="16">
        <f t="shared" ref="E31:AA31" si="34">SUM(E32)</f>
        <v>220000</v>
      </c>
      <c r="F31" s="16">
        <f t="shared" si="34"/>
        <v>220000</v>
      </c>
      <c r="G31" s="16">
        <f t="shared" si="3"/>
        <v>0</v>
      </c>
      <c r="H31" s="16">
        <f t="shared" si="34"/>
        <v>0</v>
      </c>
      <c r="I31" s="16">
        <f t="shared" si="34"/>
        <v>0</v>
      </c>
      <c r="J31" s="16">
        <f t="shared" si="4"/>
        <v>0</v>
      </c>
      <c r="K31" s="16">
        <f t="shared" si="34"/>
        <v>0</v>
      </c>
      <c r="L31" s="16">
        <f t="shared" si="34"/>
        <v>187173</v>
      </c>
      <c r="M31" s="16">
        <f t="shared" si="5"/>
        <v>187173</v>
      </c>
      <c r="N31" s="16">
        <f t="shared" si="34"/>
        <v>0</v>
      </c>
      <c r="O31" s="16">
        <f t="shared" si="34"/>
        <v>0</v>
      </c>
      <c r="P31" s="16">
        <f t="shared" si="6"/>
        <v>0</v>
      </c>
      <c r="Q31" s="16">
        <f t="shared" si="34"/>
        <v>0</v>
      </c>
      <c r="R31" s="16">
        <f t="shared" si="34"/>
        <v>116000</v>
      </c>
      <c r="S31" s="16">
        <f t="shared" si="7"/>
        <v>116000</v>
      </c>
      <c r="T31" s="16">
        <f t="shared" si="34"/>
        <v>0</v>
      </c>
      <c r="U31" s="16">
        <f t="shared" si="34"/>
        <v>0</v>
      </c>
      <c r="V31" s="16">
        <f t="shared" si="8"/>
        <v>0</v>
      </c>
      <c r="W31" s="16">
        <f t="shared" si="34"/>
        <v>0</v>
      </c>
      <c r="X31" s="16">
        <f t="shared" si="34"/>
        <v>0</v>
      </c>
      <c r="Y31" s="16">
        <f t="shared" si="9"/>
        <v>0</v>
      </c>
      <c r="Z31" s="16">
        <f t="shared" si="34"/>
        <v>1564100</v>
      </c>
      <c r="AA31" s="16">
        <f t="shared" si="34"/>
        <v>1564100</v>
      </c>
      <c r="AB31" s="16">
        <f t="shared" si="10"/>
        <v>0</v>
      </c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</row>
    <row r="32" spans="1:189" s="17" customFormat="1" x14ac:dyDescent="0.25">
      <c r="A32" s="15" t="s">
        <v>13</v>
      </c>
      <c r="B32" s="16">
        <f t="shared" si="1"/>
        <v>1784100</v>
      </c>
      <c r="C32" s="16">
        <f t="shared" si="33"/>
        <v>2087273</v>
      </c>
      <c r="D32" s="16">
        <f t="shared" si="33"/>
        <v>303173</v>
      </c>
      <c r="E32" s="16">
        <f>SUM(E33:E40)</f>
        <v>220000</v>
      </c>
      <c r="F32" s="16">
        <f>SUM(F33:F40)</f>
        <v>220000</v>
      </c>
      <c r="G32" s="16">
        <f t="shared" si="3"/>
        <v>0</v>
      </c>
      <c r="H32" s="16">
        <f>SUM(H33:H40)</f>
        <v>0</v>
      </c>
      <c r="I32" s="16">
        <f>SUM(I33:I40)</f>
        <v>0</v>
      </c>
      <c r="J32" s="16">
        <f t="shared" si="4"/>
        <v>0</v>
      </c>
      <c r="K32" s="16">
        <f>SUM(K33:K40)</f>
        <v>0</v>
      </c>
      <c r="L32" s="16">
        <f>SUM(L33:L40)</f>
        <v>187173</v>
      </c>
      <c r="M32" s="16">
        <f t="shared" si="5"/>
        <v>187173</v>
      </c>
      <c r="N32" s="16">
        <f>SUM(N33:N40)</f>
        <v>0</v>
      </c>
      <c r="O32" s="16">
        <f>SUM(O33:O40)</f>
        <v>0</v>
      </c>
      <c r="P32" s="16">
        <f t="shared" si="6"/>
        <v>0</v>
      </c>
      <c r="Q32" s="16">
        <f>SUM(Q33:Q40)</f>
        <v>0</v>
      </c>
      <c r="R32" s="16">
        <f>SUM(R33:R40)</f>
        <v>116000</v>
      </c>
      <c r="S32" s="16">
        <f t="shared" si="7"/>
        <v>116000</v>
      </c>
      <c r="T32" s="16">
        <f>SUM(T33:T40)</f>
        <v>0</v>
      </c>
      <c r="U32" s="16">
        <f>SUM(U33:U40)</f>
        <v>0</v>
      </c>
      <c r="V32" s="16">
        <f t="shared" si="8"/>
        <v>0</v>
      </c>
      <c r="W32" s="16">
        <f>SUM(W33:W40)</f>
        <v>0</v>
      </c>
      <c r="X32" s="16">
        <f>SUM(X33:X40)</f>
        <v>0</v>
      </c>
      <c r="Y32" s="16">
        <f t="shared" si="9"/>
        <v>0</v>
      </c>
      <c r="Z32" s="16">
        <f>SUM(Z33:Z40)</f>
        <v>1564100</v>
      </c>
      <c r="AA32" s="16">
        <f>SUM(AA33:AA40)</f>
        <v>1564100</v>
      </c>
      <c r="AB32" s="16">
        <f t="shared" si="10"/>
        <v>0</v>
      </c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</row>
    <row r="33" spans="1:189" s="17" customFormat="1" ht="31.5" x14ac:dyDescent="0.25">
      <c r="A33" s="25" t="s">
        <v>33</v>
      </c>
      <c r="B33" s="23">
        <f t="shared" si="1"/>
        <v>1365800</v>
      </c>
      <c r="C33" s="23">
        <f t="shared" si="33"/>
        <v>1365800</v>
      </c>
      <c r="D33" s="23">
        <f t="shared" si="33"/>
        <v>0</v>
      </c>
      <c r="E33" s="23">
        <v>0</v>
      </c>
      <c r="F33" s="23">
        <v>0</v>
      </c>
      <c r="G33" s="23">
        <f t="shared" si="3"/>
        <v>0</v>
      </c>
      <c r="H33" s="23">
        <v>0</v>
      </c>
      <c r="I33" s="23">
        <v>0</v>
      </c>
      <c r="J33" s="23">
        <f t="shared" si="4"/>
        <v>0</v>
      </c>
      <c r="K33" s="23"/>
      <c r="L33" s="23"/>
      <c r="M33" s="23">
        <f t="shared" si="5"/>
        <v>0</v>
      </c>
      <c r="N33" s="23">
        <v>0</v>
      </c>
      <c r="O33" s="23">
        <v>0</v>
      </c>
      <c r="P33" s="23">
        <f t="shared" si="6"/>
        <v>0</v>
      </c>
      <c r="Q33" s="23"/>
      <c r="R33" s="23"/>
      <c r="S33" s="23">
        <f t="shared" si="7"/>
        <v>0</v>
      </c>
      <c r="T33" s="23"/>
      <c r="U33" s="23"/>
      <c r="V33" s="23">
        <f t="shared" si="8"/>
        <v>0</v>
      </c>
      <c r="W33" s="23"/>
      <c r="X33" s="23"/>
      <c r="Y33" s="23">
        <f t="shared" si="9"/>
        <v>0</v>
      </c>
      <c r="Z33" s="23">
        <v>1365800</v>
      </c>
      <c r="AA33" s="23">
        <v>1365800</v>
      </c>
      <c r="AB33" s="23">
        <f t="shared" si="10"/>
        <v>0</v>
      </c>
    </row>
    <row r="34" spans="1:189" s="17" customFormat="1" ht="31.5" x14ac:dyDescent="0.25">
      <c r="A34" s="25" t="s">
        <v>34</v>
      </c>
      <c r="B34" s="23">
        <f t="shared" si="1"/>
        <v>100000</v>
      </c>
      <c r="C34" s="23">
        <f t="shared" si="33"/>
        <v>100000</v>
      </c>
      <c r="D34" s="23">
        <f t="shared" si="33"/>
        <v>0</v>
      </c>
      <c r="E34" s="23"/>
      <c r="F34" s="23"/>
      <c r="G34" s="23">
        <f t="shared" si="3"/>
        <v>0</v>
      </c>
      <c r="H34" s="23"/>
      <c r="I34" s="23"/>
      <c r="J34" s="23">
        <f t="shared" si="4"/>
        <v>0</v>
      </c>
      <c r="K34" s="23"/>
      <c r="L34" s="23"/>
      <c r="M34" s="23">
        <f t="shared" si="5"/>
        <v>0</v>
      </c>
      <c r="N34" s="23"/>
      <c r="O34" s="23"/>
      <c r="P34" s="23">
        <f t="shared" si="6"/>
        <v>0</v>
      </c>
      <c r="Q34" s="23"/>
      <c r="R34" s="23"/>
      <c r="S34" s="23">
        <f t="shared" si="7"/>
        <v>0</v>
      </c>
      <c r="T34" s="23"/>
      <c r="U34" s="23"/>
      <c r="V34" s="23">
        <f t="shared" si="8"/>
        <v>0</v>
      </c>
      <c r="W34" s="23"/>
      <c r="X34" s="23"/>
      <c r="Y34" s="23">
        <f t="shared" si="9"/>
        <v>0</v>
      </c>
      <c r="Z34" s="23">
        <v>100000</v>
      </c>
      <c r="AA34" s="23">
        <v>100000</v>
      </c>
      <c r="AB34" s="23">
        <f t="shared" si="10"/>
        <v>0</v>
      </c>
    </row>
    <row r="35" spans="1:189" s="17" customFormat="1" ht="31.5" x14ac:dyDescent="0.25">
      <c r="A35" s="25" t="s">
        <v>249</v>
      </c>
      <c r="B35" s="23">
        <f t="shared" ref="B35" si="35">E35+H35+K35+N35+Q35+T35+Z35</f>
        <v>0</v>
      </c>
      <c r="C35" s="23">
        <f t="shared" ref="C35" si="36">F35+I35+L35+O35+R35+U35+AA35</f>
        <v>187173</v>
      </c>
      <c r="D35" s="23">
        <f t="shared" ref="D35" si="37">G35+J35+M35+P35+S35+V35+AB35</f>
        <v>187173</v>
      </c>
      <c r="E35" s="23"/>
      <c r="F35" s="23"/>
      <c r="G35" s="23">
        <f t="shared" ref="G35" si="38">F35-E35</f>
        <v>0</v>
      </c>
      <c r="H35" s="23"/>
      <c r="I35" s="23"/>
      <c r="J35" s="23">
        <f t="shared" ref="J35" si="39">I35-H35</f>
        <v>0</v>
      </c>
      <c r="K35" s="23"/>
      <c r="L35" s="23">
        <v>187173</v>
      </c>
      <c r="M35" s="23">
        <f t="shared" ref="M35" si="40">L35-K35</f>
        <v>187173</v>
      </c>
      <c r="N35" s="23"/>
      <c r="O35" s="23"/>
      <c r="P35" s="23">
        <f t="shared" ref="P35" si="41">O35-N35</f>
        <v>0</v>
      </c>
      <c r="Q35" s="23"/>
      <c r="R35" s="23"/>
      <c r="S35" s="23">
        <f t="shared" ref="S35" si="42">R35-Q35</f>
        <v>0</v>
      </c>
      <c r="T35" s="23"/>
      <c r="U35" s="23"/>
      <c r="V35" s="23">
        <f t="shared" ref="V35" si="43">U35-T35</f>
        <v>0</v>
      </c>
      <c r="W35" s="23"/>
      <c r="X35" s="23"/>
      <c r="Y35" s="23">
        <f t="shared" ref="Y35" si="44">X35-W35</f>
        <v>0</v>
      </c>
      <c r="Z35" s="23"/>
      <c r="AA35" s="23"/>
      <c r="AB35" s="23">
        <f t="shared" ref="AB35" si="45">AA35-Z35</f>
        <v>0</v>
      </c>
    </row>
    <row r="36" spans="1:189" s="17" customFormat="1" ht="47.25" x14ac:dyDescent="0.25">
      <c r="A36" s="25" t="s">
        <v>270</v>
      </c>
      <c r="B36" s="23">
        <f t="shared" ref="B36" si="46">E36+H36+K36+N36+Q36+T36+Z36</f>
        <v>0</v>
      </c>
      <c r="C36" s="23">
        <f t="shared" ref="C36" si="47">F36+I36+L36+O36+R36+U36+AA36</f>
        <v>116000</v>
      </c>
      <c r="D36" s="23">
        <f t="shared" ref="D36" si="48">G36+J36+M36+P36+S36+V36+AB36</f>
        <v>116000</v>
      </c>
      <c r="E36" s="23"/>
      <c r="F36" s="23"/>
      <c r="G36" s="23">
        <f t="shared" ref="G36" si="49">F36-E36</f>
        <v>0</v>
      </c>
      <c r="H36" s="23"/>
      <c r="I36" s="23"/>
      <c r="J36" s="23">
        <f t="shared" ref="J36" si="50">I36-H36</f>
        <v>0</v>
      </c>
      <c r="K36" s="23"/>
      <c r="L36" s="23"/>
      <c r="M36" s="23">
        <f t="shared" ref="M36" si="51">L36-K36</f>
        <v>0</v>
      </c>
      <c r="N36" s="23"/>
      <c r="O36" s="23"/>
      <c r="P36" s="23">
        <f t="shared" ref="P36" si="52">O36-N36</f>
        <v>0</v>
      </c>
      <c r="Q36" s="23"/>
      <c r="R36" s="23">
        <v>116000</v>
      </c>
      <c r="S36" s="23">
        <f t="shared" ref="S36" si="53">R36-Q36</f>
        <v>116000</v>
      </c>
      <c r="T36" s="23"/>
      <c r="U36" s="23"/>
      <c r="V36" s="23">
        <f t="shared" ref="V36" si="54">U36-T36</f>
        <v>0</v>
      </c>
      <c r="W36" s="23"/>
      <c r="X36" s="23"/>
      <c r="Y36" s="23">
        <f t="shared" ref="Y36" si="55">X36-W36</f>
        <v>0</v>
      </c>
      <c r="Z36" s="23"/>
      <c r="AA36" s="23"/>
      <c r="AB36" s="23">
        <f t="shared" ref="AB36" si="56">AA36-Z36</f>
        <v>0</v>
      </c>
    </row>
    <row r="37" spans="1:189" s="17" customFormat="1" ht="31.5" x14ac:dyDescent="0.25">
      <c r="A37" s="25" t="s">
        <v>35</v>
      </c>
      <c r="B37" s="23">
        <f t="shared" si="1"/>
        <v>98300</v>
      </c>
      <c r="C37" s="23">
        <f t="shared" si="33"/>
        <v>98300</v>
      </c>
      <c r="D37" s="23">
        <f t="shared" si="33"/>
        <v>0</v>
      </c>
      <c r="E37" s="23">
        <v>0</v>
      </c>
      <c r="F37" s="23">
        <v>0</v>
      </c>
      <c r="G37" s="23">
        <f t="shared" si="3"/>
        <v>0</v>
      </c>
      <c r="H37" s="23">
        <v>0</v>
      </c>
      <c r="I37" s="23">
        <v>0</v>
      </c>
      <c r="J37" s="23">
        <f t="shared" si="4"/>
        <v>0</v>
      </c>
      <c r="K37" s="23"/>
      <c r="L37" s="23"/>
      <c r="M37" s="23">
        <f t="shared" si="5"/>
        <v>0</v>
      </c>
      <c r="N37" s="23">
        <v>0</v>
      </c>
      <c r="O37" s="23">
        <v>0</v>
      </c>
      <c r="P37" s="23">
        <f t="shared" si="6"/>
        <v>0</v>
      </c>
      <c r="Q37" s="23"/>
      <c r="R37" s="23"/>
      <c r="S37" s="23">
        <f t="shared" si="7"/>
        <v>0</v>
      </c>
      <c r="T37" s="23"/>
      <c r="U37" s="23"/>
      <c r="V37" s="23">
        <f t="shared" si="8"/>
        <v>0</v>
      </c>
      <c r="W37" s="23"/>
      <c r="X37" s="23"/>
      <c r="Y37" s="23">
        <f t="shared" si="9"/>
        <v>0</v>
      </c>
      <c r="Z37" s="23">
        <v>98300</v>
      </c>
      <c r="AA37" s="23">
        <v>98300</v>
      </c>
      <c r="AB37" s="23">
        <f t="shared" si="10"/>
        <v>0</v>
      </c>
    </row>
    <row r="38" spans="1:189" s="17" customFormat="1" ht="31.5" x14ac:dyDescent="0.25">
      <c r="A38" s="25" t="s">
        <v>36</v>
      </c>
      <c r="B38" s="23">
        <f t="shared" si="1"/>
        <v>60000</v>
      </c>
      <c r="C38" s="23">
        <f t="shared" si="33"/>
        <v>60000</v>
      </c>
      <c r="D38" s="23">
        <f t="shared" si="33"/>
        <v>0</v>
      </c>
      <c r="E38" s="23">
        <v>60000</v>
      </c>
      <c r="F38" s="23">
        <v>60000</v>
      </c>
      <c r="G38" s="23">
        <f t="shared" si="3"/>
        <v>0</v>
      </c>
      <c r="H38" s="23"/>
      <c r="I38" s="23"/>
      <c r="J38" s="23">
        <f t="shared" si="4"/>
        <v>0</v>
      </c>
      <c r="K38" s="23"/>
      <c r="L38" s="23"/>
      <c r="M38" s="23">
        <f t="shared" si="5"/>
        <v>0</v>
      </c>
      <c r="N38" s="23"/>
      <c r="O38" s="23"/>
      <c r="P38" s="23">
        <f t="shared" si="6"/>
        <v>0</v>
      </c>
      <c r="Q38" s="23"/>
      <c r="R38" s="23"/>
      <c r="S38" s="23">
        <f t="shared" si="7"/>
        <v>0</v>
      </c>
      <c r="T38" s="23"/>
      <c r="U38" s="23"/>
      <c r="V38" s="23">
        <f t="shared" si="8"/>
        <v>0</v>
      </c>
      <c r="W38" s="23"/>
      <c r="X38" s="23"/>
      <c r="Y38" s="23">
        <f t="shared" si="9"/>
        <v>0</v>
      </c>
      <c r="Z38" s="23"/>
      <c r="AA38" s="23"/>
      <c r="AB38" s="23">
        <f t="shared" si="10"/>
        <v>0</v>
      </c>
    </row>
    <row r="39" spans="1:189" s="17" customFormat="1" ht="31.5" x14ac:dyDescent="0.25">
      <c r="A39" s="25" t="s">
        <v>37</v>
      </c>
      <c r="B39" s="23">
        <f t="shared" si="1"/>
        <v>140000</v>
      </c>
      <c r="C39" s="23">
        <f t="shared" si="33"/>
        <v>140000</v>
      </c>
      <c r="D39" s="23">
        <f t="shared" si="33"/>
        <v>0</v>
      </c>
      <c r="E39" s="23">
        <v>140000</v>
      </c>
      <c r="F39" s="23">
        <v>140000</v>
      </c>
      <c r="G39" s="23">
        <f t="shared" si="3"/>
        <v>0</v>
      </c>
      <c r="H39" s="23"/>
      <c r="I39" s="23"/>
      <c r="J39" s="23">
        <f t="shared" si="4"/>
        <v>0</v>
      </c>
      <c r="K39" s="23"/>
      <c r="L39" s="23"/>
      <c r="M39" s="23">
        <f t="shared" si="5"/>
        <v>0</v>
      </c>
      <c r="N39" s="23"/>
      <c r="O39" s="23"/>
      <c r="P39" s="23">
        <f t="shared" si="6"/>
        <v>0</v>
      </c>
      <c r="Q39" s="23"/>
      <c r="R39" s="23"/>
      <c r="S39" s="23">
        <f t="shared" si="7"/>
        <v>0</v>
      </c>
      <c r="T39" s="23"/>
      <c r="U39" s="23"/>
      <c r="V39" s="23">
        <f t="shared" si="8"/>
        <v>0</v>
      </c>
      <c r="W39" s="23"/>
      <c r="X39" s="23"/>
      <c r="Y39" s="23">
        <f t="shared" si="9"/>
        <v>0</v>
      </c>
      <c r="Z39" s="23"/>
      <c r="AA39" s="23"/>
      <c r="AB39" s="23">
        <f t="shared" si="10"/>
        <v>0</v>
      </c>
    </row>
    <row r="40" spans="1:189" s="17" customFormat="1" ht="31.5" x14ac:dyDescent="0.25">
      <c r="A40" s="25" t="s">
        <v>38</v>
      </c>
      <c r="B40" s="23">
        <f t="shared" si="1"/>
        <v>20000</v>
      </c>
      <c r="C40" s="23">
        <f t="shared" si="33"/>
        <v>20000</v>
      </c>
      <c r="D40" s="23">
        <f t="shared" si="33"/>
        <v>0</v>
      </c>
      <c r="E40" s="23">
        <v>20000</v>
      </c>
      <c r="F40" s="23">
        <v>20000</v>
      </c>
      <c r="G40" s="23">
        <f t="shared" si="3"/>
        <v>0</v>
      </c>
      <c r="H40" s="23"/>
      <c r="I40" s="23"/>
      <c r="J40" s="23">
        <f t="shared" si="4"/>
        <v>0</v>
      </c>
      <c r="K40" s="23"/>
      <c r="L40" s="23"/>
      <c r="M40" s="23">
        <f t="shared" si="5"/>
        <v>0</v>
      </c>
      <c r="N40" s="23"/>
      <c r="O40" s="23"/>
      <c r="P40" s="23">
        <f t="shared" si="6"/>
        <v>0</v>
      </c>
      <c r="Q40" s="23"/>
      <c r="R40" s="23"/>
      <c r="S40" s="23">
        <f t="shared" si="7"/>
        <v>0</v>
      </c>
      <c r="T40" s="23"/>
      <c r="U40" s="23"/>
      <c r="V40" s="23">
        <f t="shared" si="8"/>
        <v>0</v>
      </c>
      <c r="W40" s="23"/>
      <c r="X40" s="23"/>
      <c r="Y40" s="23">
        <f t="shared" si="9"/>
        <v>0</v>
      </c>
      <c r="Z40" s="23"/>
      <c r="AA40" s="23"/>
      <c r="AB40" s="23">
        <f t="shared" si="10"/>
        <v>0</v>
      </c>
    </row>
    <row r="41" spans="1:189" s="17" customFormat="1" x14ac:dyDescent="0.25">
      <c r="A41" s="15" t="s">
        <v>39</v>
      </c>
      <c r="B41" s="16">
        <f t="shared" si="1"/>
        <v>356499</v>
      </c>
      <c r="C41" s="16">
        <f t="shared" si="33"/>
        <v>356499</v>
      </c>
      <c r="D41" s="16">
        <f t="shared" si="33"/>
        <v>0</v>
      </c>
      <c r="E41" s="16">
        <f t="shared" ref="E41:AA41" si="57">SUM(E42)</f>
        <v>0</v>
      </c>
      <c r="F41" s="16">
        <f t="shared" si="57"/>
        <v>0</v>
      </c>
      <c r="G41" s="16">
        <f t="shared" si="3"/>
        <v>0</v>
      </c>
      <c r="H41" s="16">
        <f t="shared" si="57"/>
        <v>0</v>
      </c>
      <c r="I41" s="16">
        <f t="shared" si="57"/>
        <v>0</v>
      </c>
      <c r="J41" s="16">
        <f t="shared" si="4"/>
        <v>0</v>
      </c>
      <c r="K41" s="16">
        <f t="shared" si="57"/>
        <v>0</v>
      </c>
      <c r="L41" s="16">
        <f t="shared" si="57"/>
        <v>0</v>
      </c>
      <c r="M41" s="16">
        <f t="shared" si="5"/>
        <v>0</v>
      </c>
      <c r="N41" s="16">
        <f t="shared" si="57"/>
        <v>0</v>
      </c>
      <c r="O41" s="16">
        <f t="shared" si="57"/>
        <v>0</v>
      </c>
      <c r="P41" s="16">
        <f t="shared" si="6"/>
        <v>0</v>
      </c>
      <c r="Q41" s="16">
        <f t="shared" si="57"/>
        <v>86499</v>
      </c>
      <c r="R41" s="16">
        <f t="shared" si="57"/>
        <v>86499</v>
      </c>
      <c r="S41" s="16">
        <f t="shared" si="7"/>
        <v>0</v>
      </c>
      <c r="T41" s="16">
        <f t="shared" si="57"/>
        <v>0</v>
      </c>
      <c r="U41" s="16">
        <f t="shared" si="57"/>
        <v>0</v>
      </c>
      <c r="V41" s="16">
        <f t="shared" si="8"/>
        <v>0</v>
      </c>
      <c r="W41" s="16">
        <f t="shared" si="57"/>
        <v>0</v>
      </c>
      <c r="X41" s="16">
        <f t="shared" si="57"/>
        <v>0</v>
      </c>
      <c r="Y41" s="16">
        <f t="shared" si="9"/>
        <v>0</v>
      </c>
      <c r="Z41" s="16">
        <f t="shared" si="57"/>
        <v>270000</v>
      </c>
      <c r="AA41" s="16">
        <f t="shared" si="57"/>
        <v>270000</v>
      </c>
      <c r="AB41" s="16">
        <f t="shared" si="10"/>
        <v>0</v>
      </c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</row>
    <row r="42" spans="1:189" s="14" customFormat="1" x14ac:dyDescent="0.25">
      <c r="A42" s="15" t="s">
        <v>13</v>
      </c>
      <c r="B42" s="16">
        <f t="shared" si="1"/>
        <v>356499</v>
      </c>
      <c r="C42" s="16">
        <f t="shared" si="33"/>
        <v>356499</v>
      </c>
      <c r="D42" s="16">
        <f t="shared" si="33"/>
        <v>0</v>
      </c>
      <c r="E42" s="16">
        <f t="shared" ref="E42:Z42" si="58">SUM(E43:E44)</f>
        <v>0</v>
      </c>
      <c r="F42" s="16">
        <f t="shared" ref="F42" si="59">SUM(F43:F44)</f>
        <v>0</v>
      </c>
      <c r="G42" s="16">
        <f t="shared" si="3"/>
        <v>0</v>
      </c>
      <c r="H42" s="16">
        <f t="shared" si="58"/>
        <v>0</v>
      </c>
      <c r="I42" s="16">
        <f t="shared" ref="I42" si="60">SUM(I43:I44)</f>
        <v>0</v>
      </c>
      <c r="J42" s="16">
        <f t="shared" si="4"/>
        <v>0</v>
      </c>
      <c r="K42" s="16">
        <f t="shared" si="58"/>
        <v>0</v>
      </c>
      <c r="L42" s="16">
        <f t="shared" ref="L42" si="61">SUM(L43:L44)</f>
        <v>0</v>
      </c>
      <c r="M42" s="16">
        <f t="shared" si="5"/>
        <v>0</v>
      </c>
      <c r="N42" s="16">
        <f t="shared" si="58"/>
        <v>0</v>
      </c>
      <c r="O42" s="16">
        <f t="shared" ref="O42" si="62">SUM(O43:O44)</f>
        <v>0</v>
      </c>
      <c r="P42" s="16">
        <f t="shared" si="6"/>
        <v>0</v>
      </c>
      <c r="Q42" s="16">
        <f t="shared" si="58"/>
        <v>86499</v>
      </c>
      <c r="R42" s="16">
        <f t="shared" ref="R42" si="63">SUM(R43:R44)</f>
        <v>86499</v>
      </c>
      <c r="S42" s="16">
        <f t="shared" si="7"/>
        <v>0</v>
      </c>
      <c r="T42" s="16">
        <f t="shared" si="58"/>
        <v>0</v>
      </c>
      <c r="U42" s="16">
        <f t="shared" ref="U42" si="64">SUM(U43:U44)</f>
        <v>0</v>
      </c>
      <c r="V42" s="16">
        <f t="shared" si="8"/>
        <v>0</v>
      </c>
      <c r="W42" s="16">
        <f t="shared" ref="W42" si="65">SUM(W43:W44)</f>
        <v>0</v>
      </c>
      <c r="X42" s="16">
        <f t="shared" ref="X42" si="66">SUM(X43:X44)</f>
        <v>0</v>
      </c>
      <c r="Y42" s="16">
        <f t="shared" si="9"/>
        <v>0</v>
      </c>
      <c r="Z42" s="16">
        <f t="shared" si="58"/>
        <v>270000</v>
      </c>
      <c r="AA42" s="16">
        <f t="shared" ref="AA42" si="67">SUM(AA43:AA44)</f>
        <v>270000</v>
      </c>
      <c r="AB42" s="16">
        <f t="shared" si="10"/>
        <v>0</v>
      </c>
    </row>
    <row r="43" spans="1:189" s="17" customFormat="1" x14ac:dyDescent="0.25">
      <c r="A43" s="22" t="s">
        <v>40</v>
      </c>
      <c r="B43" s="23">
        <f t="shared" si="1"/>
        <v>350000</v>
      </c>
      <c r="C43" s="23">
        <f t="shared" ref="C43:D58" si="68">F43+I43+L43+O43+R43+U43+AA43</f>
        <v>350000</v>
      </c>
      <c r="D43" s="23">
        <f t="shared" si="68"/>
        <v>0</v>
      </c>
      <c r="E43" s="23"/>
      <c r="F43" s="23"/>
      <c r="G43" s="23">
        <f t="shared" si="3"/>
        <v>0</v>
      </c>
      <c r="H43" s="23"/>
      <c r="I43" s="23"/>
      <c r="J43" s="23">
        <f t="shared" si="4"/>
        <v>0</v>
      </c>
      <c r="K43" s="23"/>
      <c r="L43" s="23"/>
      <c r="M43" s="23">
        <f t="shared" si="5"/>
        <v>0</v>
      </c>
      <c r="N43" s="23"/>
      <c r="O43" s="23"/>
      <c r="P43" s="23">
        <f t="shared" si="6"/>
        <v>0</v>
      </c>
      <c r="Q43" s="23">
        <v>80000</v>
      </c>
      <c r="R43" s="23">
        <v>80000</v>
      </c>
      <c r="S43" s="23">
        <f t="shared" si="7"/>
        <v>0</v>
      </c>
      <c r="T43" s="23"/>
      <c r="U43" s="23"/>
      <c r="V43" s="23">
        <f t="shared" si="8"/>
        <v>0</v>
      </c>
      <c r="W43" s="23"/>
      <c r="X43" s="23"/>
      <c r="Y43" s="23">
        <f t="shared" si="9"/>
        <v>0</v>
      </c>
      <c r="Z43" s="23">
        <v>270000</v>
      </c>
      <c r="AA43" s="23">
        <v>270000</v>
      </c>
      <c r="AB43" s="23">
        <f t="shared" si="10"/>
        <v>0</v>
      </c>
    </row>
    <row r="44" spans="1:189" s="17" customFormat="1" x14ac:dyDescent="0.25">
      <c r="A44" s="22" t="s">
        <v>41</v>
      </c>
      <c r="B44" s="23">
        <f t="shared" si="1"/>
        <v>6499</v>
      </c>
      <c r="C44" s="23">
        <f t="shared" si="68"/>
        <v>6499</v>
      </c>
      <c r="D44" s="23">
        <f t="shared" si="68"/>
        <v>0</v>
      </c>
      <c r="E44" s="23"/>
      <c r="F44" s="23"/>
      <c r="G44" s="23">
        <f t="shared" si="3"/>
        <v>0</v>
      </c>
      <c r="H44" s="23"/>
      <c r="I44" s="23"/>
      <c r="J44" s="23">
        <f t="shared" si="4"/>
        <v>0</v>
      </c>
      <c r="K44" s="23"/>
      <c r="L44" s="23"/>
      <c r="M44" s="23">
        <f t="shared" si="5"/>
        <v>0</v>
      </c>
      <c r="N44" s="23"/>
      <c r="O44" s="23"/>
      <c r="P44" s="23">
        <f t="shared" si="6"/>
        <v>0</v>
      </c>
      <c r="Q44" s="23">
        <v>6499</v>
      </c>
      <c r="R44" s="23">
        <v>6499</v>
      </c>
      <c r="S44" s="23">
        <f t="shared" si="7"/>
        <v>0</v>
      </c>
      <c r="T44" s="23"/>
      <c r="U44" s="23"/>
      <c r="V44" s="23">
        <f t="shared" si="8"/>
        <v>0</v>
      </c>
      <c r="W44" s="23"/>
      <c r="X44" s="23"/>
      <c r="Y44" s="23">
        <f t="shared" si="9"/>
        <v>0</v>
      </c>
      <c r="Z44" s="23"/>
      <c r="AA44" s="23"/>
      <c r="AB44" s="23">
        <f t="shared" si="10"/>
        <v>0</v>
      </c>
    </row>
    <row r="45" spans="1:189" s="17" customFormat="1" ht="31.5" x14ac:dyDescent="0.25">
      <c r="A45" s="15" t="s">
        <v>42</v>
      </c>
      <c r="B45" s="16">
        <f t="shared" si="1"/>
        <v>524555</v>
      </c>
      <c r="C45" s="16">
        <f t="shared" si="68"/>
        <v>524555</v>
      </c>
      <c r="D45" s="16">
        <f t="shared" si="68"/>
        <v>0</v>
      </c>
      <c r="E45" s="16">
        <f t="shared" ref="E45:AA45" si="69">SUM(E46)</f>
        <v>0</v>
      </c>
      <c r="F45" s="16">
        <f t="shared" si="69"/>
        <v>0</v>
      </c>
      <c r="G45" s="16">
        <f t="shared" si="3"/>
        <v>0</v>
      </c>
      <c r="H45" s="16">
        <f t="shared" si="69"/>
        <v>0</v>
      </c>
      <c r="I45" s="16">
        <f t="shared" si="69"/>
        <v>0</v>
      </c>
      <c r="J45" s="16">
        <f t="shared" si="4"/>
        <v>0</v>
      </c>
      <c r="K45" s="16">
        <f t="shared" si="69"/>
        <v>0</v>
      </c>
      <c r="L45" s="16">
        <f t="shared" si="69"/>
        <v>0</v>
      </c>
      <c r="M45" s="16">
        <f t="shared" si="5"/>
        <v>0</v>
      </c>
      <c r="N45" s="16">
        <f t="shared" si="69"/>
        <v>524555</v>
      </c>
      <c r="O45" s="16">
        <f t="shared" si="69"/>
        <v>524555</v>
      </c>
      <c r="P45" s="16">
        <f t="shared" si="6"/>
        <v>0</v>
      </c>
      <c r="Q45" s="16">
        <f t="shared" si="69"/>
        <v>0</v>
      </c>
      <c r="R45" s="16">
        <f t="shared" si="69"/>
        <v>0</v>
      </c>
      <c r="S45" s="16">
        <f t="shared" si="7"/>
        <v>0</v>
      </c>
      <c r="T45" s="16">
        <f t="shared" si="69"/>
        <v>0</v>
      </c>
      <c r="U45" s="16">
        <f t="shared" si="69"/>
        <v>0</v>
      </c>
      <c r="V45" s="16">
        <f t="shared" si="8"/>
        <v>0</v>
      </c>
      <c r="W45" s="16">
        <f t="shared" si="69"/>
        <v>0</v>
      </c>
      <c r="X45" s="16">
        <f t="shared" si="69"/>
        <v>0</v>
      </c>
      <c r="Y45" s="16">
        <f t="shared" si="9"/>
        <v>0</v>
      </c>
      <c r="Z45" s="16">
        <f t="shared" si="69"/>
        <v>0</v>
      </c>
      <c r="AA45" s="16">
        <f t="shared" si="69"/>
        <v>0</v>
      </c>
      <c r="AB45" s="16">
        <f t="shared" si="10"/>
        <v>0</v>
      </c>
    </row>
    <row r="46" spans="1:189" s="17" customFormat="1" x14ac:dyDescent="0.25">
      <c r="A46" s="15" t="s">
        <v>13</v>
      </c>
      <c r="B46" s="16">
        <f t="shared" si="1"/>
        <v>524555</v>
      </c>
      <c r="C46" s="16">
        <f t="shared" si="68"/>
        <v>524555</v>
      </c>
      <c r="D46" s="16">
        <f t="shared" si="68"/>
        <v>0</v>
      </c>
      <c r="E46" s="16">
        <f t="shared" ref="E46:Z46" si="70">SUM(E47:E48)</f>
        <v>0</v>
      </c>
      <c r="F46" s="16">
        <f t="shared" ref="F46" si="71">SUM(F47:F48)</f>
        <v>0</v>
      </c>
      <c r="G46" s="16">
        <f t="shared" si="3"/>
        <v>0</v>
      </c>
      <c r="H46" s="16">
        <f t="shared" si="70"/>
        <v>0</v>
      </c>
      <c r="I46" s="16">
        <f t="shared" ref="I46" si="72">SUM(I47:I48)</f>
        <v>0</v>
      </c>
      <c r="J46" s="16">
        <f t="shared" si="4"/>
        <v>0</v>
      </c>
      <c r="K46" s="16">
        <f t="shared" si="70"/>
        <v>0</v>
      </c>
      <c r="L46" s="16">
        <f t="shared" ref="L46" si="73">SUM(L47:L48)</f>
        <v>0</v>
      </c>
      <c r="M46" s="16">
        <f t="shared" si="5"/>
        <v>0</v>
      </c>
      <c r="N46" s="16">
        <f t="shared" si="70"/>
        <v>524555</v>
      </c>
      <c r="O46" s="16">
        <f t="shared" ref="O46" si="74">SUM(O47:O48)</f>
        <v>524555</v>
      </c>
      <c r="P46" s="16">
        <f t="shared" si="6"/>
        <v>0</v>
      </c>
      <c r="Q46" s="16">
        <f t="shared" si="70"/>
        <v>0</v>
      </c>
      <c r="R46" s="16">
        <f t="shared" ref="R46" si="75">SUM(R47:R48)</f>
        <v>0</v>
      </c>
      <c r="S46" s="16">
        <f t="shared" si="7"/>
        <v>0</v>
      </c>
      <c r="T46" s="16">
        <f t="shared" si="70"/>
        <v>0</v>
      </c>
      <c r="U46" s="16">
        <f t="shared" ref="U46" si="76">SUM(U47:U48)</f>
        <v>0</v>
      </c>
      <c r="V46" s="16">
        <f t="shared" si="8"/>
        <v>0</v>
      </c>
      <c r="W46" s="16">
        <f t="shared" ref="W46" si="77">SUM(W47:W48)</f>
        <v>0</v>
      </c>
      <c r="X46" s="16">
        <f t="shared" ref="X46" si="78">SUM(X47:X48)</f>
        <v>0</v>
      </c>
      <c r="Y46" s="16">
        <f t="shared" si="9"/>
        <v>0</v>
      </c>
      <c r="Z46" s="16">
        <f t="shared" si="70"/>
        <v>0</v>
      </c>
      <c r="AA46" s="16">
        <f t="shared" ref="AA46" si="79">SUM(AA47:AA48)</f>
        <v>0</v>
      </c>
      <c r="AB46" s="16">
        <f t="shared" si="10"/>
        <v>0</v>
      </c>
    </row>
    <row r="47" spans="1:189" s="14" customFormat="1" ht="110.25" x14ac:dyDescent="0.25">
      <c r="A47" s="24" t="s">
        <v>43</v>
      </c>
      <c r="B47" s="26">
        <f t="shared" si="1"/>
        <v>130000</v>
      </c>
      <c r="C47" s="26">
        <f t="shared" si="68"/>
        <v>130000</v>
      </c>
      <c r="D47" s="26">
        <f t="shared" si="68"/>
        <v>0</v>
      </c>
      <c r="E47" s="26"/>
      <c r="F47" s="26"/>
      <c r="G47" s="26">
        <f t="shared" si="3"/>
        <v>0</v>
      </c>
      <c r="H47" s="26"/>
      <c r="I47" s="26"/>
      <c r="J47" s="26">
        <f t="shared" si="4"/>
        <v>0</v>
      </c>
      <c r="K47" s="26"/>
      <c r="L47" s="26"/>
      <c r="M47" s="26">
        <f t="shared" si="5"/>
        <v>0</v>
      </c>
      <c r="N47" s="26">
        <v>130000</v>
      </c>
      <c r="O47" s="26">
        <v>130000</v>
      </c>
      <c r="P47" s="26">
        <f t="shared" si="6"/>
        <v>0</v>
      </c>
      <c r="Q47" s="26"/>
      <c r="R47" s="26"/>
      <c r="S47" s="26">
        <f t="shared" si="7"/>
        <v>0</v>
      </c>
      <c r="T47" s="26"/>
      <c r="U47" s="26"/>
      <c r="V47" s="26">
        <f t="shared" si="8"/>
        <v>0</v>
      </c>
      <c r="W47" s="26"/>
      <c r="X47" s="26"/>
      <c r="Y47" s="26">
        <f t="shared" si="9"/>
        <v>0</v>
      </c>
      <c r="Z47" s="26"/>
      <c r="AA47" s="26"/>
      <c r="AB47" s="26">
        <f t="shared" si="10"/>
        <v>0</v>
      </c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</row>
    <row r="48" spans="1:189" s="17" customFormat="1" ht="78.75" x14ac:dyDescent="0.25">
      <c r="A48" s="24" t="s">
        <v>44</v>
      </c>
      <c r="B48" s="20">
        <f t="shared" si="1"/>
        <v>394555</v>
      </c>
      <c r="C48" s="20">
        <f t="shared" si="68"/>
        <v>394555</v>
      </c>
      <c r="D48" s="20">
        <f t="shared" si="68"/>
        <v>0</v>
      </c>
      <c r="E48" s="20"/>
      <c r="F48" s="20"/>
      <c r="G48" s="20">
        <f t="shared" si="3"/>
        <v>0</v>
      </c>
      <c r="H48" s="20"/>
      <c r="I48" s="20"/>
      <c r="J48" s="20">
        <f t="shared" si="4"/>
        <v>0</v>
      </c>
      <c r="K48" s="20"/>
      <c r="L48" s="20"/>
      <c r="M48" s="20">
        <f t="shared" si="5"/>
        <v>0</v>
      </c>
      <c r="N48" s="20">
        <v>394555</v>
      </c>
      <c r="O48" s="20">
        <v>394555</v>
      </c>
      <c r="P48" s="20">
        <f t="shared" si="6"/>
        <v>0</v>
      </c>
      <c r="Q48" s="20"/>
      <c r="R48" s="20"/>
      <c r="S48" s="20">
        <f t="shared" si="7"/>
        <v>0</v>
      </c>
      <c r="T48" s="20"/>
      <c r="U48" s="20"/>
      <c r="V48" s="20">
        <f t="shared" si="8"/>
        <v>0</v>
      </c>
      <c r="W48" s="20"/>
      <c r="X48" s="20"/>
      <c r="Y48" s="20">
        <f t="shared" si="9"/>
        <v>0</v>
      </c>
      <c r="Z48" s="20"/>
      <c r="AA48" s="20"/>
      <c r="AB48" s="20">
        <f t="shared" si="10"/>
        <v>0</v>
      </c>
    </row>
    <row r="49" spans="1:189" s="17" customFormat="1" ht="31.5" x14ac:dyDescent="0.25">
      <c r="A49" s="15" t="s">
        <v>45</v>
      </c>
      <c r="B49" s="16">
        <f t="shared" si="1"/>
        <v>8765763</v>
      </c>
      <c r="C49" s="16">
        <f t="shared" si="68"/>
        <v>9192722</v>
      </c>
      <c r="D49" s="16">
        <f t="shared" si="68"/>
        <v>426959</v>
      </c>
      <c r="E49" s="16">
        <f t="shared" ref="E49:AA49" si="80">SUM(E50)</f>
        <v>168700</v>
      </c>
      <c r="F49" s="16">
        <f t="shared" si="80"/>
        <v>168700</v>
      </c>
      <c r="G49" s="16">
        <f t="shared" si="3"/>
        <v>0</v>
      </c>
      <c r="H49" s="16">
        <f t="shared" si="80"/>
        <v>140072</v>
      </c>
      <c r="I49" s="16">
        <f t="shared" si="80"/>
        <v>140072</v>
      </c>
      <c r="J49" s="16">
        <f t="shared" si="4"/>
        <v>0</v>
      </c>
      <c r="K49" s="16">
        <f t="shared" si="80"/>
        <v>325694</v>
      </c>
      <c r="L49" s="16">
        <f t="shared" si="80"/>
        <v>752653</v>
      </c>
      <c r="M49" s="16">
        <f t="shared" si="5"/>
        <v>426959</v>
      </c>
      <c r="N49" s="16">
        <f t="shared" si="80"/>
        <v>4247463</v>
      </c>
      <c r="O49" s="16">
        <f t="shared" si="80"/>
        <v>4247463</v>
      </c>
      <c r="P49" s="16">
        <f t="shared" si="6"/>
        <v>0</v>
      </c>
      <c r="Q49" s="16">
        <f t="shared" si="80"/>
        <v>0</v>
      </c>
      <c r="R49" s="16">
        <f t="shared" si="80"/>
        <v>0</v>
      </c>
      <c r="S49" s="16">
        <f t="shared" si="7"/>
        <v>0</v>
      </c>
      <c r="T49" s="16">
        <f t="shared" si="80"/>
        <v>3883834</v>
      </c>
      <c r="U49" s="16">
        <f t="shared" si="80"/>
        <v>3883834</v>
      </c>
      <c r="V49" s="16">
        <f t="shared" si="8"/>
        <v>0</v>
      </c>
      <c r="W49" s="16">
        <f t="shared" si="80"/>
        <v>0</v>
      </c>
      <c r="X49" s="16">
        <f t="shared" si="80"/>
        <v>0</v>
      </c>
      <c r="Y49" s="16">
        <f t="shared" si="9"/>
        <v>0</v>
      </c>
      <c r="Z49" s="16">
        <f t="shared" si="80"/>
        <v>0</v>
      </c>
      <c r="AA49" s="16">
        <f t="shared" si="80"/>
        <v>0</v>
      </c>
      <c r="AB49" s="16">
        <f t="shared" si="10"/>
        <v>0</v>
      </c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</row>
    <row r="50" spans="1:189" s="17" customFormat="1" x14ac:dyDescent="0.25">
      <c r="A50" s="15" t="s">
        <v>13</v>
      </c>
      <c r="B50" s="16">
        <f t="shared" si="1"/>
        <v>8765763</v>
      </c>
      <c r="C50" s="16">
        <f t="shared" si="68"/>
        <v>9192722</v>
      </c>
      <c r="D50" s="16">
        <f t="shared" si="68"/>
        <v>426959</v>
      </c>
      <c r="E50" s="16">
        <f>SUM(E51:E57,E58,E95,E126)</f>
        <v>168700</v>
      </c>
      <c r="F50" s="16">
        <f>SUM(F51:F57,F58,F95,F126)</f>
        <v>168700</v>
      </c>
      <c r="G50" s="16">
        <f t="shared" si="3"/>
        <v>0</v>
      </c>
      <c r="H50" s="16">
        <f>SUM(H51:H57,H58,H95,H126)</f>
        <v>140072</v>
      </c>
      <c r="I50" s="16">
        <f>SUM(I51:I57,I58,I95,I126)</f>
        <v>140072</v>
      </c>
      <c r="J50" s="16">
        <f t="shared" si="4"/>
        <v>0</v>
      </c>
      <c r="K50" s="16">
        <f>SUM(K51:K57,K58,K95,K126)</f>
        <v>325694</v>
      </c>
      <c r="L50" s="16">
        <f>SUM(L51:L57,L58,L95,L126)</f>
        <v>752653</v>
      </c>
      <c r="M50" s="16">
        <f t="shared" si="5"/>
        <v>426959</v>
      </c>
      <c r="N50" s="16">
        <f>SUM(N51:N57,N58,N95,N126)</f>
        <v>4247463</v>
      </c>
      <c r="O50" s="16">
        <f>SUM(O51:O57,O58,O95,O126)</f>
        <v>4247463</v>
      </c>
      <c r="P50" s="16">
        <f t="shared" si="6"/>
        <v>0</v>
      </c>
      <c r="Q50" s="16">
        <f>SUM(Q51:Q57,Q58,Q95,Q126)</f>
        <v>0</v>
      </c>
      <c r="R50" s="16">
        <f>SUM(R51:R57,R58,R95,R126)</f>
        <v>0</v>
      </c>
      <c r="S50" s="16">
        <f t="shared" si="7"/>
        <v>0</v>
      </c>
      <c r="T50" s="16">
        <f>SUM(T51:T57,T58,T95,T126)</f>
        <v>3883834</v>
      </c>
      <c r="U50" s="16">
        <f>SUM(U51:U57,U58,U95,U126)</f>
        <v>3883834</v>
      </c>
      <c r="V50" s="16">
        <f t="shared" si="8"/>
        <v>0</v>
      </c>
      <c r="W50" s="16">
        <f>SUM(W51:W57,W58,W95,W126)</f>
        <v>0</v>
      </c>
      <c r="X50" s="16">
        <f>SUM(X51:X57,X58,X95,X126)</f>
        <v>0</v>
      </c>
      <c r="Y50" s="16">
        <f t="shared" si="9"/>
        <v>0</v>
      </c>
      <c r="Z50" s="16">
        <f>SUM(Z51:Z57,Z58,Z95,Z126)</f>
        <v>0</v>
      </c>
      <c r="AA50" s="16">
        <f>SUM(AA51:AA57,AA58,AA95,AA126)</f>
        <v>0</v>
      </c>
      <c r="AB50" s="16">
        <f t="shared" si="10"/>
        <v>0</v>
      </c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</row>
    <row r="51" spans="1:189" s="17" customFormat="1" ht="31.5" x14ac:dyDescent="0.25">
      <c r="A51" s="27" t="s">
        <v>46</v>
      </c>
      <c r="B51" s="23">
        <f t="shared" si="1"/>
        <v>3183</v>
      </c>
      <c r="C51" s="23">
        <f t="shared" si="68"/>
        <v>3183</v>
      </c>
      <c r="D51" s="23">
        <f t="shared" si="68"/>
        <v>0</v>
      </c>
      <c r="E51" s="23"/>
      <c r="F51" s="23"/>
      <c r="G51" s="23">
        <f t="shared" si="3"/>
        <v>0</v>
      </c>
      <c r="H51" s="23"/>
      <c r="I51" s="23"/>
      <c r="J51" s="23">
        <f t="shared" si="4"/>
        <v>0</v>
      </c>
      <c r="K51" s="23">
        <v>3183</v>
      </c>
      <c r="L51" s="23">
        <v>3183</v>
      </c>
      <c r="M51" s="23">
        <f t="shared" si="5"/>
        <v>0</v>
      </c>
      <c r="N51" s="23"/>
      <c r="O51" s="23"/>
      <c r="P51" s="23">
        <f t="shared" si="6"/>
        <v>0</v>
      </c>
      <c r="Q51" s="23"/>
      <c r="R51" s="23"/>
      <c r="S51" s="23">
        <f t="shared" si="7"/>
        <v>0</v>
      </c>
      <c r="T51" s="23">
        <v>0</v>
      </c>
      <c r="U51" s="23">
        <v>0</v>
      </c>
      <c r="V51" s="23">
        <f t="shared" si="8"/>
        <v>0</v>
      </c>
      <c r="W51" s="23">
        <v>0</v>
      </c>
      <c r="X51" s="23">
        <v>0</v>
      </c>
      <c r="Y51" s="23">
        <f t="shared" si="9"/>
        <v>0</v>
      </c>
      <c r="Z51" s="23"/>
      <c r="AA51" s="23"/>
      <c r="AB51" s="23">
        <f t="shared" si="10"/>
        <v>0</v>
      </c>
    </row>
    <row r="52" spans="1:189" s="17" customFormat="1" x14ac:dyDescent="0.25">
      <c r="A52" s="27" t="s">
        <v>47</v>
      </c>
      <c r="B52" s="23">
        <f t="shared" si="1"/>
        <v>150000</v>
      </c>
      <c r="C52" s="23">
        <f t="shared" si="68"/>
        <v>150000</v>
      </c>
      <c r="D52" s="23">
        <f t="shared" si="68"/>
        <v>0</v>
      </c>
      <c r="E52" s="23">
        <v>150000</v>
      </c>
      <c r="F52" s="23">
        <v>150000</v>
      </c>
      <c r="G52" s="23">
        <f t="shared" si="3"/>
        <v>0</v>
      </c>
      <c r="H52" s="23"/>
      <c r="I52" s="23"/>
      <c r="J52" s="23">
        <f t="shared" si="4"/>
        <v>0</v>
      </c>
      <c r="K52" s="23"/>
      <c r="L52" s="23"/>
      <c r="M52" s="23">
        <f t="shared" si="5"/>
        <v>0</v>
      </c>
      <c r="N52" s="23"/>
      <c r="O52" s="23"/>
      <c r="P52" s="23">
        <f t="shared" si="6"/>
        <v>0</v>
      </c>
      <c r="Q52" s="23"/>
      <c r="R52" s="23"/>
      <c r="S52" s="23">
        <f t="shared" si="7"/>
        <v>0</v>
      </c>
      <c r="T52" s="23"/>
      <c r="U52" s="23"/>
      <c r="V52" s="23">
        <f t="shared" si="8"/>
        <v>0</v>
      </c>
      <c r="W52" s="23"/>
      <c r="X52" s="23"/>
      <c r="Y52" s="23">
        <f t="shared" si="9"/>
        <v>0</v>
      </c>
      <c r="Z52" s="23"/>
      <c r="AA52" s="23"/>
      <c r="AB52" s="23">
        <f t="shared" si="10"/>
        <v>0</v>
      </c>
    </row>
    <row r="53" spans="1:189" s="17" customFormat="1" ht="47.25" x14ac:dyDescent="0.25">
      <c r="A53" s="22" t="s">
        <v>48</v>
      </c>
      <c r="B53" s="23">
        <f t="shared" si="1"/>
        <v>2534</v>
      </c>
      <c r="C53" s="23">
        <f t="shared" si="68"/>
        <v>2534</v>
      </c>
      <c r="D53" s="23">
        <f t="shared" si="68"/>
        <v>0</v>
      </c>
      <c r="E53" s="23"/>
      <c r="F53" s="23"/>
      <c r="G53" s="23">
        <f t="shared" si="3"/>
        <v>0</v>
      </c>
      <c r="H53" s="23"/>
      <c r="I53" s="23"/>
      <c r="J53" s="23">
        <f t="shared" si="4"/>
        <v>0</v>
      </c>
      <c r="K53" s="23"/>
      <c r="L53" s="23"/>
      <c r="M53" s="23">
        <f t="shared" si="5"/>
        <v>0</v>
      </c>
      <c r="N53" s="23"/>
      <c r="O53" s="23"/>
      <c r="P53" s="23">
        <f t="shared" si="6"/>
        <v>0</v>
      </c>
      <c r="Q53" s="23"/>
      <c r="R53" s="23"/>
      <c r="S53" s="23">
        <f t="shared" si="7"/>
        <v>0</v>
      </c>
      <c r="T53" s="23">
        <v>2534</v>
      </c>
      <c r="U53" s="23">
        <v>2534</v>
      </c>
      <c r="V53" s="23">
        <f t="shared" si="8"/>
        <v>0</v>
      </c>
      <c r="W53" s="23"/>
      <c r="X53" s="23"/>
      <c r="Y53" s="23">
        <f t="shared" si="9"/>
        <v>0</v>
      </c>
      <c r="Z53" s="23"/>
      <c r="AA53" s="23"/>
      <c r="AB53" s="23">
        <f t="shared" si="10"/>
        <v>0</v>
      </c>
    </row>
    <row r="54" spans="1:189" s="17" customFormat="1" ht="157.5" x14ac:dyDescent="0.25">
      <c r="A54" s="19" t="s">
        <v>49</v>
      </c>
      <c r="B54" s="23">
        <f t="shared" si="1"/>
        <v>4247463</v>
      </c>
      <c r="C54" s="23">
        <f t="shared" si="68"/>
        <v>4247463</v>
      </c>
      <c r="D54" s="23">
        <f t="shared" si="68"/>
        <v>0</v>
      </c>
      <c r="E54" s="23"/>
      <c r="F54" s="23"/>
      <c r="G54" s="23">
        <f t="shared" si="3"/>
        <v>0</v>
      </c>
      <c r="H54" s="23"/>
      <c r="I54" s="23"/>
      <c r="J54" s="23">
        <f t="shared" si="4"/>
        <v>0</v>
      </c>
      <c r="K54" s="23"/>
      <c r="L54" s="23"/>
      <c r="M54" s="23">
        <f t="shared" si="5"/>
        <v>0</v>
      </c>
      <c r="N54" s="23">
        <v>4247463</v>
      </c>
      <c r="O54" s="23">
        <v>4247463</v>
      </c>
      <c r="P54" s="23">
        <f t="shared" si="6"/>
        <v>0</v>
      </c>
      <c r="Q54" s="23"/>
      <c r="R54" s="23"/>
      <c r="S54" s="23">
        <f t="shared" si="7"/>
        <v>0</v>
      </c>
      <c r="T54" s="23"/>
      <c r="U54" s="23"/>
      <c r="V54" s="23">
        <f t="shared" si="8"/>
        <v>0</v>
      </c>
      <c r="W54" s="23"/>
      <c r="X54" s="23"/>
      <c r="Y54" s="23">
        <f t="shared" si="9"/>
        <v>0</v>
      </c>
      <c r="Z54" s="23"/>
      <c r="AA54" s="23"/>
      <c r="AB54" s="23">
        <f t="shared" si="10"/>
        <v>0</v>
      </c>
    </row>
    <row r="55" spans="1:189" s="17" customFormat="1" x14ac:dyDescent="0.25">
      <c r="A55" s="28" t="s">
        <v>50</v>
      </c>
      <c r="B55" s="23">
        <f t="shared" si="1"/>
        <v>3000</v>
      </c>
      <c r="C55" s="23">
        <f t="shared" si="68"/>
        <v>3000</v>
      </c>
      <c r="D55" s="23">
        <f t="shared" si="68"/>
        <v>0</v>
      </c>
      <c r="E55" s="23"/>
      <c r="F55" s="23"/>
      <c r="G55" s="23">
        <f t="shared" si="3"/>
        <v>0</v>
      </c>
      <c r="H55" s="23"/>
      <c r="I55" s="23"/>
      <c r="J55" s="23">
        <f t="shared" si="4"/>
        <v>0</v>
      </c>
      <c r="K55" s="23">
        <v>3000</v>
      </c>
      <c r="L55" s="23">
        <v>3000</v>
      </c>
      <c r="M55" s="23">
        <f t="shared" si="5"/>
        <v>0</v>
      </c>
      <c r="N55" s="23"/>
      <c r="O55" s="23"/>
      <c r="P55" s="23">
        <f t="shared" si="6"/>
        <v>0</v>
      </c>
      <c r="Q55" s="23"/>
      <c r="R55" s="23"/>
      <c r="S55" s="23">
        <f t="shared" si="7"/>
        <v>0</v>
      </c>
      <c r="T55" s="23"/>
      <c r="U55" s="23"/>
      <c r="V55" s="23">
        <f t="shared" si="8"/>
        <v>0</v>
      </c>
      <c r="W55" s="23"/>
      <c r="X55" s="23"/>
      <c r="Y55" s="23">
        <f t="shared" si="9"/>
        <v>0</v>
      </c>
      <c r="Z55" s="23"/>
      <c r="AA55" s="23"/>
      <c r="AB55" s="23">
        <f t="shared" si="10"/>
        <v>0</v>
      </c>
    </row>
    <row r="56" spans="1:189" s="17" customFormat="1" ht="31.5" x14ac:dyDescent="0.25">
      <c r="A56" s="22" t="s">
        <v>51</v>
      </c>
      <c r="B56" s="23">
        <f t="shared" si="1"/>
        <v>50000</v>
      </c>
      <c r="C56" s="23">
        <f t="shared" si="68"/>
        <v>50000</v>
      </c>
      <c r="D56" s="23">
        <f t="shared" si="68"/>
        <v>0</v>
      </c>
      <c r="E56" s="23">
        <v>18700</v>
      </c>
      <c r="F56" s="23">
        <v>18700</v>
      </c>
      <c r="G56" s="23">
        <f t="shared" si="3"/>
        <v>0</v>
      </c>
      <c r="H56" s="23"/>
      <c r="I56" s="23"/>
      <c r="J56" s="23">
        <f t="shared" si="4"/>
        <v>0</v>
      </c>
      <c r="K56" s="23"/>
      <c r="L56" s="23"/>
      <c r="M56" s="23">
        <f t="shared" si="5"/>
        <v>0</v>
      </c>
      <c r="N56" s="23"/>
      <c r="O56" s="23"/>
      <c r="P56" s="23">
        <f t="shared" si="6"/>
        <v>0</v>
      </c>
      <c r="Q56" s="23"/>
      <c r="R56" s="23"/>
      <c r="S56" s="23">
        <f t="shared" si="7"/>
        <v>0</v>
      </c>
      <c r="T56" s="23">
        <f>10904+20396</f>
        <v>31300</v>
      </c>
      <c r="U56" s="23">
        <f>10904+20396</f>
        <v>31300</v>
      </c>
      <c r="V56" s="23">
        <f t="shared" si="8"/>
        <v>0</v>
      </c>
      <c r="W56" s="23"/>
      <c r="X56" s="23"/>
      <c r="Y56" s="23">
        <f t="shared" si="9"/>
        <v>0</v>
      </c>
      <c r="Z56" s="23"/>
      <c r="AA56" s="23"/>
      <c r="AB56" s="23">
        <f t="shared" si="10"/>
        <v>0</v>
      </c>
    </row>
    <row r="57" spans="1:189" s="17" customFormat="1" ht="47.25" x14ac:dyDescent="0.25">
      <c r="A57" s="22" t="s">
        <v>52</v>
      </c>
      <c r="B57" s="23">
        <f t="shared" si="1"/>
        <v>3850000</v>
      </c>
      <c r="C57" s="23">
        <f t="shared" si="68"/>
        <v>3850000</v>
      </c>
      <c r="D57" s="23">
        <f t="shared" si="68"/>
        <v>0</v>
      </c>
      <c r="E57" s="23"/>
      <c r="F57" s="23"/>
      <c r="G57" s="23">
        <f t="shared" si="3"/>
        <v>0</v>
      </c>
      <c r="H57" s="23"/>
      <c r="I57" s="23"/>
      <c r="J57" s="23">
        <f t="shared" si="4"/>
        <v>0</v>
      </c>
      <c r="K57" s="23"/>
      <c r="L57" s="23"/>
      <c r="M57" s="23">
        <f t="shared" si="5"/>
        <v>0</v>
      </c>
      <c r="N57" s="23"/>
      <c r="O57" s="23"/>
      <c r="P57" s="23">
        <f t="shared" si="6"/>
        <v>0</v>
      </c>
      <c r="Q57" s="23"/>
      <c r="R57" s="23"/>
      <c r="S57" s="23">
        <f t="shared" si="7"/>
        <v>0</v>
      </c>
      <c r="T57" s="23">
        <v>3850000</v>
      </c>
      <c r="U57" s="23">
        <v>3850000</v>
      </c>
      <c r="V57" s="23">
        <f t="shared" si="8"/>
        <v>0</v>
      </c>
      <c r="W57" s="23"/>
      <c r="X57" s="23"/>
      <c r="Y57" s="23">
        <f t="shared" si="9"/>
        <v>0</v>
      </c>
      <c r="Z57" s="23"/>
      <c r="AA57" s="23"/>
      <c r="AB57" s="23">
        <f t="shared" si="10"/>
        <v>0</v>
      </c>
    </row>
    <row r="58" spans="1:189" s="14" customFormat="1" ht="47.25" x14ac:dyDescent="0.25">
      <c r="A58" s="29" t="s">
        <v>53</v>
      </c>
      <c r="B58" s="16">
        <f t="shared" si="1"/>
        <v>459583</v>
      </c>
      <c r="C58" s="16">
        <f t="shared" si="68"/>
        <v>451319</v>
      </c>
      <c r="D58" s="16">
        <f t="shared" si="68"/>
        <v>-8264</v>
      </c>
      <c r="E58" s="16">
        <f t="shared" ref="E58:Z58" si="81">SUM(E59:E94)</f>
        <v>0</v>
      </c>
      <c r="F58" s="16">
        <f t="shared" ref="F58" si="82">SUM(F59:F94)</f>
        <v>0</v>
      </c>
      <c r="G58" s="16">
        <f t="shared" si="3"/>
        <v>0</v>
      </c>
      <c r="H58" s="16">
        <f t="shared" si="81"/>
        <v>140072</v>
      </c>
      <c r="I58" s="16">
        <f t="shared" ref="I58" si="83">SUM(I59:I94)</f>
        <v>140072</v>
      </c>
      <c r="J58" s="16">
        <f t="shared" si="4"/>
        <v>0</v>
      </c>
      <c r="K58" s="16">
        <f t="shared" si="81"/>
        <v>319511</v>
      </c>
      <c r="L58" s="16">
        <f t="shared" ref="L58" si="84">SUM(L59:L94)</f>
        <v>311247</v>
      </c>
      <c r="M58" s="16">
        <f t="shared" si="5"/>
        <v>-8264</v>
      </c>
      <c r="N58" s="16">
        <f t="shared" si="81"/>
        <v>0</v>
      </c>
      <c r="O58" s="16">
        <f t="shared" ref="O58" si="85">SUM(O59:O94)</f>
        <v>0</v>
      </c>
      <c r="P58" s="16">
        <f t="shared" si="6"/>
        <v>0</v>
      </c>
      <c r="Q58" s="16">
        <f t="shared" si="81"/>
        <v>0</v>
      </c>
      <c r="R58" s="16">
        <f t="shared" ref="R58" si="86">SUM(R59:R94)</f>
        <v>0</v>
      </c>
      <c r="S58" s="16">
        <f t="shared" si="7"/>
        <v>0</v>
      </c>
      <c r="T58" s="16">
        <f t="shared" si="81"/>
        <v>0</v>
      </c>
      <c r="U58" s="16">
        <f t="shared" ref="U58" si="87">SUM(U59:U94)</f>
        <v>0</v>
      </c>
      <c r="V58" s="16">
        <f t="shared" si="8"/>
        <v>0</v>
      </c>
      <c r="W58" s="16">
        <f t="shared" ref="W58" si="88">SUM(W59:W94)</f>
        <v>0</v>
      </c>
      <c r="X58" s="16">
        <f t="shared" ref="X58" si="89">SUM(X59:X94)</f>
        <v>0</v>
      </c>
      <c r="Y58" s="16">
        <f t="shared" si="9"/>
        <v>0</v>
      </c>
      <c r="Z58" s="16">
        <f t="shared" si="81"/>
        <v>0</v>
      </c>
      <c r="AA58" s="16">
        <f t="shared" ref="AA58" si="90">SUM(AA59:AA94)</f>
        <v>0</v>
      </c>
      <c r="AB58" s="16">
        <f t="shared" si="10"/>
        <v>0</v>
      </c>
    </row>
    <row r="59" spans="1:189" s="17" customFormat="1" ht="31.5" x14ac:dyDescent="0.25">
      <c r="A59" s="30" t="s">
        <v>54</v>
      </c>
      <c r="B59" s="23">
        <f t="shared" si="1"/>
        <v>57171</v>
      </c>
      <c r="C59" s="23">
        <f t="shared" ref="C59:D74" si="91">F59+I59+L59+O59+R59+U59+AA59</f>
        <v>57171</v>
      </c>
      <c r="D59" s="23">
        <f t="shared" si="91"/>
        <v>0</v>
      </c>
      <c r="E59" s="23"/>
      <c r="F59" s="23"/>
      <c r="G59" s="23">
        <f t="shared" si="3"/>
        <v>0</v>
      </c>
      <c r="H59" s="23">
        <f>41161</f>
        <v>41161</v>
      </c>
      <c r="I59" s="23">
        <f>41161</f>
        <v>41161</v>
      </c>
      <c r="J59" s="23">
        <f t="shared" si="4"/>
        <v>0</v>
      </c>
      <c r="K59" s="23">
        <f>5010+11000</f>
        <v>16010</v>
      </c>
      <c r="L59" s="23">
        <f>5010+11000</f>
        <v>16010</v>
      </c>
      <c r="M59" s="23">
        <f t="shared" si="5"/>
        <v>0</v>
      </c>
      <c r="N59" s="23"/>
      <c r="O59" s="23"/>
      <c r="P59" s="23">
        <f t="shared" si="6"/>
        <v>0</v>
      </c>
      <c r="Q59" s="23"/>
      <c r="R59" s="23"/>
      <c r="S59" s="23">
        <f t="shared" si="7"/>
        <v>0</v>
      </c>
      <c r="T59" s="23"/>
      <c r="U59" s="23"/>
      <c r="V59" s="23">
        <f t="shared" si="8"/>
        <v>0</v>
      </c>
      <c r="W59" s="23"/>
      <c r="X59" s="23"/>
      <c r="Y59" s="23">
        <f t="shared" si="9"/>
        <v>0</v>
      </c>
      <c r="Z59" s="23"/>
      <c r="AA59" s="23"/>
      <c r="AB59" s="23">
        <f t="shared" si="10"/>
        <v>0</v>
      </c>
    </row>
    <row r="60" spans="1:189" s="17" customFormat="1" x14ac:dyDescent="0.25">
      <c r="A60" s="30" t="s">
        <v>55</v>
      </c>
      <c r="B60" s="23">
        <f t="shared" si="1"/>
        <v>11000</v>
      </c>
      <c r="C60" s="23">
        <f t="shared" si="91"/>
        <v>11000</v>
      </c>
      <c r="D60" s="23">
        <f t="shared" si="91"/>
        <v>0</v>
      </c>
      <c r="E60" s="23"/>
      <c r="F60" s="23"/>
      <c r="G60" s="23">
        <f t="shared" si="3"/>
        <v>0</v>
      </c>
      <c r="H60" s="23"/>
      <c r="I60" s="23"/>
      <c r="J60" s="23">
        <f t="shared" si="4"/>
        <v>0</v>
      </c>
      <c r="K60" s="23">
        <v>11000</v>
      </c>
      <c r="L60" s="23">
        <v>11000</v>
      </c>
      <c r="M60" s="23">
        <f t="shared" si="5"/>
        <v>0</v>
      </c>
      <c r="N60" s="23"/>
      <c r="O60" s="23"/>
      <c r="P60" s="23">
        <f t="shared" si="6"/>
        <v>0</v>
      </c>
      <c r="Q60" s="23"/>
      <c r="R60" s="23"/>
      <c r="S60" s="23">
        <f t="shared" si="7"/>
        <v>0</v>
      </c>
      <c r="T60" s="23"/>
      <c r="U60" s="23"/>
      <c r="V60" s="23">
        <f t="shared" si="8"/>
        <v>0</v>
      </c>
      <c r="W60" s="23"/>
      <c r="X60" s="23"/>
      <c r="Y60" s="23">
        <f t="shared" si="9"/>
        <v>0</v>
      </c>
      <c r="Z60" s="23"/>
      <c r="AA60" s="23"/>
      <c r="AB60" s="23">
        <f t="shared" si="10"/>
        <v>0</v>
      </c>
    </row>
    <row r="61" spans="1:189" s="17" customFormat="1" ht="31.5" x14ac:dyDescent="0.25">
      <c r="A61" s="30" t="s">
        <v>250</v>
      </c>
      <c r="B61" s="23">
        <f t="shared" si="1"/>
        <v>46265</v>
      </c>
      <c r="C61" s="23">
        <f t="shared" si="91"/>
        <v>35001</v>
      </c>
      <c r="D61" s="23">
        <f t="shared" si="91"/>
        <v>-11264</v>
      </c>
      <c r="E61" s="23"/>
      <c r="F61" s="23"/>
      <c r="G61" s="23">
        <f t="shared" si="3"/>
        <v>0</v>
      </c>
      <c r="H61" s="23">
        <f>4780+25712</f>
        <v>30492</v>
      </c>
      <c r="I61" s="23">
        <f>4780+25712</f>
        <v>30492</v>
      </c>
      <c r="J61" s="23">
        <f t="shared" si="4"/>
        <v>0</v>
      </c>
      <c r="K61" s="23">
        <f>4773+11000</f>
        <v>15773</v>
      </c>
      <c r="L61" s="23">
        <f>4773+11000-13264+2000</f>
        <v>4509</v>
      </c>
      <c r="M61" s="23">
        <f t="shared" si="5"/>
        <v>-11264</v>
      </c>
      <c r="N61" s="23"/>
      <c r="O61" s="23"/>
      <c r="P61" s="23">
        <f t="shared" si="6"/>
        <v>0</v>
      </c>
      <c r="Q61" s="23"/>
      <c r="R61" s="23"/>
      <c r="S61" s="23">
        <f t="shared" si="7"/>
        <v>0</v>
      </c>
      <c r="T61" s="23"/>
      <c r="U61" s="23"/>
      <c r="V61" s="23">
        <f t="shared" si="8"/>
        <v>0</v>
      </c>
      <c r="W61" s="23"/>
      <c r="X61" s="23"/>
      <c r="Y61" s="23">
        <f t="shared" si="9"/>
        <v>0</v>
      </c>
      <c r="Z61" s="23"/>
      <c r="AA61" s="23"/>
      <c r="AB61" s="23">
        <f t="shared" si="10"/>
        <v>0</v>
      </c>
    </row>
    <row r="62" spans="1:189" s="17" customFormat="1" x14ac:dyDescent="0.25">
      <c r="A62" s="30" t="s">
        <v>56</v>
      </c>
      <c r="B62" s="23">
        <f t="shared" si="1"/>
        <v>4000</v>
      </c>
      <c r="C62" s="23">
        <f t="shared" si="91"/>
        <v>4000</v>
      </c>
      <c r="D62" s="23">
        <f t="shared" si="91"/>
        <v>0</v>
      </c>
      <c r="E62" s="23"/>
      <c r="F62" s="23"/>
      <c r="G62" s="23">
        <f t="shared" si="3"/>
        <v>0</v>
      </c>
      <c r="H62" s="23"/>
      <c r="I62" s="23"/>
      <c r="J62" s="23">
        <f t="shared" si="4"/>
        <v>0</v>
      </c>
      <c r="K62" s="23">
        <v>4000</v>
      </c>
      <c r="L62" s="23">
        <v>4000</v>
      </c>
      <c r="M62" s="23">
        <f t="shared" si="5"/>
        <v>0</v>
      </c>
      <c r="N62" s="23"/>
      <c r="O62" s="23"/>
      <c r="P62" s="23">
        <f t="shared" si="6"/>
        <v>0</v>
      </c>
      <c r="Q62" s="23"/>
      <c r="R62" s="23"/>
      <c r="S62" s="23">
        <f t="shared" si="7"/>
        <v>0</v>
      </c>
      <c r="T62" s="23"/>
      <c r="U62" s="23"/>
      <c r="V62" s="23">
        <f t="shared" si="8"/>
        <v>0</v>
      </c>
      <c r="W62" s="23"/>
      <c r="X62" s="23"/>
      <c r="Y62" s="23">
        <f t="shared" si="9"/>
        <v>0</v>
      </c>
      <c r="Z62" s="23"/>
      <c r="AA62" s="23"/>
      <c r="AB62" s="23">
        <f t="shared" si="10"/>
        <v>0</v>
      </c>
    </row>
    <row r="63" spans="1:189" s="17" customFormat="1" x14ac:dyDescent="0.25">
      <c r="A63" s="30" t="s">
        <v>57</v>
      </c>
      <c r="B63" s="23">
        <f t="shared" si="1"/>
        <v>5000</v>
      </c>
      <c r="C63" s="23">
        <f t="shared" si="91"/>
        <v>5000</v>
      </c>
      <c r="D63" s="23">
        <f t="shared" si="91"/>
        <v>0</v>
      </c>
      <c r="E63" s="23"/>
      <c r="F63" s="23"/>
      <c r="G63" s="23">
        <f t="shared" si="3"/>
        <v>0</v>
      </c>
      <c r="H63" s="23"/>
      <c r="I63" s="23"/>
      <c r="J63" s="23">
        <f t="shared" si="4"/>
        <v>0</v>
      </c>
      <c r="K63" s="23">
        <v>5000</v>
      </c>
      <c r="L63" s="23">
        <v>5000</v>
      </c>
      <c r="M63" s="23">
        <f t="shared" si="5"/>
        <v>0</v>
      </c>
      <c r="N63" s="23"/>
      <c r="O63" s="23"/>
      <c r="P63" s="23">
        <f t="shared" si="6"/>
        <v>0</v>
      </c>
      <c r="Q63" s="23"/>
      <c r="R63" s="23"/>
      <c r="S63" s="23">
        <f t="shared" si="7"/>
        <v>0</v>
      </c>
      <c r="T63" s="23"/>
      <c r="U63" s="23"/>
      <c r="V63" s="23">
        <f t="shared" si="8"/>
        <v>0</v>
      </c>
      <c r="W63" s="23"/>
      <c r="X63" s="23"/>
      <c r="Y63" s="23">
        <f t="shared" si="9"/>
        <v>0</v>
      </c>
      <c r="Z63" s="23"/>
      <c r="AA63" s="23"/>
      <c r="AB63" s="23">
        <f t="shared" si="10"/>
        <v>0</v>
      </c>
    </row>
    <row r="64" spans="1:189" s="17" customFormat="1" x14ac:dyDescent="0.25">
      <c r="A64" s="30" t="s">
        <v>58</v>
      </c>
      <c r="B64" s="23">
        <f t="shared" si="1"/>
        <v>4000</v>
      </c>
      <c r="C64" s="23">
        <f t="shared" si="91"/>
        <v>4000</v>
      </c>
      <c r="D64" s="23">
        <f t="shared" si="91"/>
        <v>0</v>
      </c>
      <c r="E64" s="23"/>
      <c r="F64" s="23"/>
      <c r="G64" s="23">
        <f t="shared" si="3"/>
        <v>0</v>
      </c>
      <c r="H64" s="23"/>
      <c r="I64" s="23"/>
      <c r="J64" s="23">
        <f t="shared" si="4"/>
        <v>0</v>
      </c>
      <c r="K64" s="23">
        <v>4000</v>
      </c>
      <c r="L64" s="23">
        <v>4000</v>
      </c>
      <c r="M64" s="23">
        <f t="shared" si="5"/>
        <v>0</v>
      </c>
      <c r="N64" s="23"/>
      <c r="O64" s="23"/>
      <c r="P64" s="23">
        <f t="shared" si="6"/>
        <v>0</v>
      </c>
      <c r="Q64" s="23"/>
      <c r="R64" s="23"/>
      <c r="S64" s="23">
        <f t="shared" si="7"/>
        <v>0</v>
      </c>
      <c r="T64" s="23"/>
      <c r="U64" s="23"/>
      <c r="V64" s="23">
        <f t="shared" si="8"/>
        <v>0</v>
      </c>
      <c r="W64" s="23"/>
      <c r="X64" s="23"/>
      <c r="Y64" s="23">
        <f t="shared" si="9"/>
        <v>0</v>
      </c>
      <c r="Z64" s="23"/>
      <c r="AA64" s="23"/>
      <c r="AB64" s="23">
        <f t="shared" si="10"/>
        <v>0</v>
      </c>
    </row>
    <row r="65" spans="1:28" s="17" customFormat="1" x14ac:dyDescent="0.25">
      <c r="A65" s="30" t="s">
        <v>59</v>
      </c>
      <c r="B65" s="23">
        <f t="shared" si="1"/>
        <v>7000</v>
      </c>
      <c r="C65" s="23">
        <f t="shared" si="91"/>
        <v>7000</v>
      </c>
      <c r="D65" s="23">
        <f t="shared" si="91"/>
        <v>0</v>
      </c>
      <c r="E65" s="23"/>
      <c r="F65" s="23"/>
      <c r="G65" s="23">
        <f t="shared" si="3"/>
        <v>0</v>
      </c>
      <c r="H65" s="23"/>
      <c r="I65" s="23"/>
      <c r="J65" s="23">
        <f t="shared" si="4"/>
        <v>0</v>
      </c>
      <c r="K65" s="23">
        <v>7000</v>
      </c>
      <c r="L65" s="23">
        <v>7000</v>
      </c>
      <c r="M65" s="23">
        <f t="shared" si="5"/>
        <v>0</v>
      </c>
      <c r="N65" s="23"/>
      <c r="O65" s="23"/>
      <c r="P65" s="23">
        <f t="shared" si="6"/>
        <v>0</v>
      </c>
      <c r="Q65" s="23"/>
      <c r="R65" s="23"/>
      <c r="S65" s="23">
        <f t="shared" si="7"/>
        <v>0</v>
      </c>
      <c r="T65" s="23"/>
      <c r="U65" s="23"/>
      <c r="V65" s="23">
        <f t="shared" si="8"/>
        <v>0</v>
      </c>
      <c r="W65" s="23"/>
      <c r="X65" s="23"/>
      <c r="Y65" s="23">
        <f t="shared" si="9"/>
        <v>0</v>
      </c>
      <c r="Z65" s="23"/>
      <c r="AA65" s="23"/>
      <c r="AB65" s="23">
        <f t="shared" si="10"/>
        <v>0</v>
      </c>
    </row>
    <row r="66" spans="1:28" s="17" customFormat="1" ht="31.5" x14ac:dyDescent="0.25">
      <c r="A66" s="30" t="s">
        <v>60</v>
      </c>
      <c r="B66" s="23">
        <f t="shared" si="1"/>
        <v>16398</v>
      </c>
      <c r="C66" s="23">
        <f t="shared" si="91"/>
        <v>16398</v>
      </c>
      <c r="D66" s="23">
        <f t="shared" si="91"/>
        <v>0</v>
      </c>
      <c r="E66" s="23"/>
      <c r="F66" s="23"/>
      <c r="G66" s="23">
        <f t="shared" si="3"/>
        <v>0</v>
      </c>
      <c r="H66" s="23">
        <v>8898</v>
      </c>
      <c r="I66" s="23">
        <v>8898</v>
      </c>
      <c r="J66" s="23">
        <f t="shared" si="4"/>
        <v>0</v>
      </c>
      <c r="K66" s="23">
        <v>7500</v>
      </c>
      <c r="L66" s="23">
        <v>7500</v>
      </c>
      <c r="M66" s="23">
        <f t="shared" si="5"/>
        <v>0</v>
      </c>
      <c r="N66" s="23"/>
      <c r="O66" s="23"/>
      <c r="P66" s="23">
        <f t="shared" si="6"/>
        <v>0</v>
      </c>
      <c r="Q66" s="23"/>
      <c r="R66" s="23"/>
      <c r="S66" s="23">
        <f t="shared" si="7"/>
        <v>0</v>
      </c>
      <c r="T66" s="23"/>
      <c r="U66" s="23"/>
      <c r="V66" s="23">
        <f t="shared" si="8"/>
        <v>0</v>
      </c>
      <c r="W66" s="23"/>
      <c r="X66" s="23"/>
      <c r="Y66" s="23">
        <f t="shared" si="9"/>
        <v>0</v>
      </c>
      <c r="Z66" s="23"/>
      <c r="AA66" s="23"/>
      <c r="AB66" s="23">
        <f t="shared" si="10"/>
        <v>0</v>
      </c>
    </row>
    <row r="67" spans="1:28" s="17" customFormat="1" x14ac:dyDescent="0.25">
      <c r="A67" s="30" t="s">
        <v>61</v>
      </c>
      <c r="B67" s="23">
        <f t="shared" si="1"/>
        <v>4000</v>
      </c>
      <c r="C67" s="23">
        <f t="shared" si="91"/>
        <v>4000</v>
      </c>
      <c r="D67" s="23">
        <f t="shared" si="91"/>
        <v>0</v>
      </c>
      <c r="E67" s="23"/>
      <c r="F67" s="23"/>
      <c r="G67" s="23">
        <f t="shared" si="3"/>
        <v>0</v>
      </c>
      <c r="H67" s="23"/>
      <c r="I67" s="23"/>
      <c r="J67" s="23">
        <f t="shared" si="4"/>
        <v>0</v>
      </c>
      <c r="K67" s="23">
        <v>4000</v>
      </c>
      <c r="L67" s="23">
        <v>4000</v>
      </c>
      <c r="M67" s="23">
        <f t="shared" si="5"/>
        <v>0</v>
      </c>
      <c r="N67" s="23"/>
      <c r="O67" s="23"/>
      <c r="P67" s="23">
        <f t="shared" si="6"/>
        <v>0</v>
      </c>
      <c r="Q67" s="23"/>
      <c r="R67" s="23"/>
      <c r="S67" s="23">
        <f t="shared" si="7"/>
        <v>0</v>
      </c>
      <c r="T67" s="23"/>
      <c r="U67" s="23"/>
      <c r="V67" s="23">
        <f t="shared" si="8"/>
        <v>0</v>
      </c>
      <c r="W67" s="23"/>
      <c r="X67" s="23"/>
      <c r="Y67" s="23">
        <f t="shared" si="9"/>
        <v>0</v>
      </c>
      <c r="Z67" s="23"/>
      <c r="AA67" s="23"/>
      <c r="AB67" s="23">
        <f t="shared" si="10"/>
        <v>0</v>
      </c>
    </row>
    <row r="68" spans="1:28" s="17" customFormat="1" ht="31.5" x14ac:dyDescent="0.25">
      <c r="A68" s="30" t="s">
        <v>62</v>
      </c>
      <c r="B68" s="23">
        <f t="shared" si="1"/>
        <v>23702</v>
      </c>
      <c r="C68" s="23">
        <f t="shared" si="91"/>
        <v>23702</v>
      </c>
      <c r="D68" s="23">
        <f t="shared" si="91"/>
        <v>0</v>
      </c>
      <c r="E68" s="23"/>
      <c r="F68" s="23"/>
      <c r="G68" s="23">
        <f t="shared" si="3"/>
        <v>0</v>
      </c>
      <c r="H68" s="23">
        <f>15702</f>
        <v>15702</v>
      </c>
      <c r="I68" s="23">
        <f>15702</f>
        <v>15702</v>
      </c>
      <c r="J68" s="23">
        <f t="shared" si="4"/>
        <v>0</v>
      </c>
      <c r="K68" s="23">
        <v>8000</v>
      </c>
      <c r="L68" s="23">
        <v>8000</v>
      </c>
      <c r="M68" s="23">
        <f t="shared" si="5"/>
        <v>0</v>
      </c>
      <c r="N68" s="23"/>
      <c r="O68" s="23"/>
      <c r="P68" s="23">
        <f t="shared" si="6"/>
        <v>0</v>
      </c>
      <c r="Q68" s="23"/>
      <c r="R68" s="23"/>
      <c r="S68" s="23">
        <f t="shared" si="7"/>
        <v>0</v>
      </c>
      <c r="T68" s="23"/>
      <c r="U68" s="23"/>
      <c r="V68" s="23">
        <f t="shared" si="8"/>
        <v>0</v>
      </c>
      <c r="W68" s="23"/>
      <c r="X68" s="23"/>
      <c r="Y68" s="23">
        <f t="shared" si="9"/>
        <v>0</v>
      </c>
      <c r="Z68" s="23"/>
      <c r="AA68" s="23"/>
      <c r="AB68" s="23">
        <f t="shared" si="10"/>
        <v>0</v>
      </c>
    </row>
    <row r="69" spans="1:28" s="17" customFormat="1" x14ac:dyDescent="0.25">
      <c r="A69" s="30" t="s">
        <v>63</v>
      </c>
      <c r="B69" s="23">
        <f t="shared" si="1"/>
        <v>11000</v>
      </c>
      <c r="C69" s="23">
        <f t="shared" si="91"/>
        <v>11000</v>
      </c>
      <c r="D69" s="23">
        <f t="shared" si="91"/>
        <v>0</v>
      </c>
      <c r="E69" s="23"/>
      <c r="F69" s="23"/>
      <c r="G69" s="23">
        <f t="shared" si="3"/>
        <v>0</v>
      </c>
      <c r="H69" s="23"/>
      <c r="I69" s="23"/>
      <c r="J69" s="23">
        <f t="shared" si="4"/>
        <v>0</v>
      </c>
      <c r="K69" s="23">
        <v>11000</v>
      </c>
      <c r="L69" s="23">
        <v>11000</v>
      </c>
      <c r="M69" s="23">
        <f t="shared" si="5"/>
        <v>0</v>
      </c>
      <c r="N69" s="23"/>
      <c r="O69" s="23"/>
      <c r="P69" s="23">
        <f t="shared" si="6"/>
        <v>0</v>
      </c>
      <c r="Q69" s="23"/>
      <c r="R69" s="23"/>
      <c r="S69" s="23">
        <f t="shared" si="7"/>
        <v>0</v>
      </c>
      <c r="T69" s="23"/>
      <c r="U69" s="23"/>
      <c r="V69" s="23">
        <f t="shared" si="8"/>
        <v>0</v>
      </c>
      <c r="W69" s="23"/>
      <c r="X69" s="23"/>
      <c r="Y69" s="23">
        <f t="shared" si="9"/>
        <v>0</v>
      </c>
      <c r="Z69" s="23"/>
      <c r="AA69" s="23"/>
      <c r="AB69" s="23">
        <f t="shared" si="10"/>
        <v>0</v>
      </c>
    </row>
    <row r="70" spans="1:28" s="17" customFormat="1" ht="31.5" x14ac:dyDescent="0.25">
      <c r="A70" s="30" t="s">
        <v>64</v>
      </c>
      <c r="B70" s="23">
        <f t="shared" si="1"/>
        <v>8697</v>
      </c>
      <c r="C70" s="23">
        <f t="shared" si="91"/>
        <v>8697</v>
      </c>
      <c r="D70" s="23">
        <f t="shared" si="91"/>
        <v>0</v>
      </c>
      <c r="E70" s="23"/>
      <c r="F70" s="23"/>
      <c r="G70" s="23">
        <f t="shared" si="3"/>
        <v>0</v>
      </c>
      <c r="H70" s="23"/>
      <c r="I70" s="23"/>
      <c r="J70" s="23">
        <f t="shared" si="4"/>
        <v>0</v>
      </c>
      <c r="K70" s="23">
        <f>197+8500</f>
        <v>8697</v>
      </c>
      <c r="L70" s="23">
        <f>197+8500</f>
        <v>8697</v>
      </c>
      <c r="M70" s="23">
        <f t="shared" si="5"/>
        <v>0</v>
      </c>
      <c r="N70" s="23"/>
      <c r="O70" s="23"/>
      <c r="P70" s="23">
        <f t="shared" si="6"/>
        <v>0</v>
      </c>
      <c r="Q70" s="23"/>
      <c r="R70" s="23"/>
      <c r="S70" s="23">
        <f t="shared" si="7"/>
        <v>0</v>
      </c>
      <c r="T70" s="23"/>
      <c r="U70" s="23"/>
      <c r="V70" s="23">
        <f t="shared" si="8"/>
        <v>0</v>
      </c>
      <c r="W70" s="23"/>
      <c r="X70" s="23"/>
      <c r="Y70" s="23">
        <f t="shared" si="9"/>
        <v>0</v>
      </c>
      <c r="Z70" s="23"/>
      <c r="AA70" s="23"/>
      <c r="AB70" s="23">
        <f t="shared" si="10"/>
        <v>0</v>
      </c>
    </row>
    <row r="71" spans="1:28" s="17" customFormat="1" x14ac:dyDescent="0.25">
      <c r="A71" s="30" t="s">
        <v>65</v>
      </c>
      <c r="B71" s="23">
        <f t="shared" si="1"/>
        <v>17000</v>
      </c>
      <c r="C71" s="23">
        <f t="shared" si="91"/>
        <v>17000</v>
      </c>
      <c r="D71" s="23">
        <f t="shared" si="91"/>
        <v>0</v>
      </c>
      <c r="E71" s="23"/>
      <c r="F71" s="23"/>
      <c r="G71" s="23">
        <f t="shared" si="3"/>
        <v>0</v>
      </c>
      <c r="H71" s="23">
        <v>8500</v>
      </c>
      <c r="I71" s="23">
        <v>8500</v>
      </c>
      <c r="J71" s="23">
        <f t="shared" si="4"/>
        <v>0</v>
      </c>
      <c r="K71" s="23">
        <v>8500</v>
      </c>
      <c r="L71" s="23">
        <v>8500</v>
      </c>
      <c r="M71" s="23">
        <f t="shared" si="5"/>
        <v>0</v>
      </c>
      <c r="N71" s="23"/>
      <c r="O71" s="23"/>
      <c r="P71" s="23">
        <f t="shared" si="6"/>
        <v>0</v>
      </c>
      <c r="Q71" s="23"/>
      <c r="R71" s="23"/>
      <c r="S71" s="23">
        <f t="shared" si="7"/>
        <v>0</v>
      </c>
      <c r="T71" s="23"/>
      <c r="U71" s="23"/>
      <c r="V71" s="23">
        <f t="shared" si="8"/>
        <v>0</v>
      </c>
      <c r="W71" s="23"/>
      <c r="X71" s="23"/>
      <c r="Y71" s="23">
        <f t="shared" si="9"/>
        <v>0</v>
      </c>
      <c r="Z71" s="23"/>
      <c r="AA71" s="23"/>
      <c r="AB71" s="23">
        <f t="shared" si="10"/>
        <v>0</v>
      </c>
    </row>
    <row r="72" spans="1:28" s="17" customFormat="1" x14ac:dyDescent="0.25">
      <c r="A72" s="30" t="s">
        <v>66</v>
      </c>
      <c r="B72" s="23">
        <f t="shared" si="1"/>
        <v>5500</v>
      </c>
      <c r="C72" s="23">
        <f t="shared" si="91"/>
        <v>5500</v>
      </c>
      <c r="D72" s="23">
        <f t="shared" si="91"/>
        <v>0</v>
      </c>
      <c r="E72" s="23"/>
      <c r="F72" s="23"/>
      <c r="G72" s="23">
        <f t="shared" si="3"/>
        <v>0</v>
      </c>
      <c r="H72" s="23"/>
      <c r="I72" s="23"/>
      <c r="J72" s="23">
        <f t="shared" si="4"/>
        <v>0</v>
      </c>
      <c r="K72" s="23">
        <v>5500</v>
      </c>
      <c r="L72" s="23">
        <v>5500</v>
      </c>
      <c r="M72" s="23">
        <f t="shared" si="5"/>
        <v>0</v>
      </c>
      <c r="N72" s="23"/>
      <c r="O72" s="23"/>
      <c r="P72" s="23">
        <f t="shared" si="6"/>
        <v>0</v>
      </c>
      <c r="Q72" s="23"/>
      <c r="R72" s="23"/>
      <c r="S72" s="23">
        <f t="shared" si="7"/>
        <v>0</v>
      </c>
      <c r="T72" s="23"/>
      <c r="U72" s="23"/>
      <c r="V72" s="23">
        <f t="shared" si="8"/>
        <v>0</v>
      </c>
      <c r="W72" s="23"/>
      <c r="X72" s="23"/>
      <c r="Y72" s="23">
        <f t="shared" si="9"/>
        <v>0</v>
      </c>
      <c r="Z72" s="23"/>
      <c r="AA72" s="23"/>
      <c r="AB72" s="23">
        <f t="shared" si="10"/>
        <v>0</v>
      </c>
    </row>
    <row r="73" spans="1:28" s="17" customFormat="1" x14ac:dyDescent="0.25">
      <c r="A73" s="30" t="s">
        <v>67</v>
      </c>
      <c r="B73" s="23">
        <f t="shared" si="1"/>
        <v>9000</v>
      </c>
      <c r="C73" s="23">
        <f t="shared" si="91"/>
        <v>9000</v>
      </c>
      <c r="D73" s="23">
        <f t="shared" si="91"/>
        <v>0</v>
      </c>
      <c r="E73" s="23"/>
      <c r="F73" s="23"/>
      <c r="G73" s="23">
        <f t="shared" si="3"/>
        <v>0</v>
      </c>
      <c r="H73" s="23"/>
      <c r="I73" s="23"/>
      <c r="J73" s="23">
        <f t="shared" si="4"/>
        <v>0</v>
      </c>
      <c r="K73" s="23">
        <v>9000</v>
      </c>
      <c r="L73" s="23">
        <v>9000</v>
      </c>
      <c r="M73" s="23">
        <f t="shared" si="5"/>
        <v>0</v>
      </c>
      <c r="N73" s="23"/>
      <c r="O73" s="23"/>
      <c r="P73" s="23">
        <f t="shared" si="6"/>
        <v>0</v>
      </c>
      <c r="Q73" s="23"/>
      <c r="R73" s="23"/>
      <c r="S73" s="23">
        <f t="shared" si="7"/>
        <v>0</v>
      </c>
      <c r="T73" s="23"/>
      <c r="U73" s="23"/>
      <c r="V73" s="23">
        <f t="shared" si="8"/>
        <v>0</v>
      </c>
      <c r="W73" s="23"/>
      <c r="X73" s="23"/>
      <c r="Y73" s="23">
        <f t="shared" si="9"/>
        <v>0</v>
      </c>
      <c r="Z73" s="23"/>
      <c r="AA73" s="23"/>
      <c r="AB73" s="23">
        <f t="shared" si="10"/>
        <v>0</v>
      </c>
    </row>
    <row r="74" spans="1:28" s="17" customFormat="1" ht="47.25" x14ac:dyDescent="0.25">
      <c r="A74" s="30" t="s">
        <v>68</v>
      </c>
      <c r="B74" s="23">
        <f t="shared" si="1"/>
        <v>41364</v>
      </c>
      <c r="C74" s="23">
        <f t="shared" si="91"/>
        <v>41364</v>
      </c>
      <c r="D74" s="23">
        <f t="shared" si="91"/>
        <v>0</v>
      </c>
      <c r="E74" s="23"/>
      <c r="F74" s="23"/>
      <c r="G74" s="23">
        <f t="shared" si="3"/>
        <v>0</v>
      </c>
      <c r="H74" s="23">
        <f>11000+19364</f>
        <v>30364</v>
      </c>
      <c r="I74" s="23">
        <f>11000+19364</f>
        <v>30364</v>
      </c>
      <c r="J74" s="23">
        <f t="shared" si="4"/>
        <v>0</v>
      </c>
      <c r="K74" s="23">
        <v>11000</v>
      </c>
      <c r="L74" s="23">
        <v>11000</v>
      </c>
      <c r="M74" s="23">
        <f t="shared" si="5"/>
        <v>0</v>
      </c>
      <c r="N74" s="23"/>
      <c r="O74" s="23"/>
      <c r="P74" s="23">
        <f t="shared" si="6"/>
        <v>0</v>
      </c>
      <c r="Q74" s="23"/>
      <c r="R74" s="23"/>
      <c r="S74" s="23">
        <f t="shared" si="7"/>
        <v>0</v>
      </c>
      <c r="T74" s="23"/>
      <c r="U74" s="23"/>
      <c r="V74" s="23">
        <f t="shared" si="8"/>
        <v>0</v>
      </c>
      <c r="W74" s="23"/>
      <c r="X74" s="23"/>
      <c r="Y74" s="23">
        <f t="shared" si="9"/>
        <v>0</v>
      </c>
      <c r="Z74" s="23"/>
      <c r="AA74" s="23"/>
      <c r="AB74" s="23">
        <f t="shared" si="10"/>
        <v>0</v>
      </c>
    </row>
    <row r="75" spans="1:28" s="17" customFormat="1" x14ac:dyDescent="0.25">
      <c r="A75" s="30" t="s">
        <v>69</v>
      </c>
      <c r="B75" s="23">
        <f t="shared" ref="B75:B181" si="92">E75+H75+K75+N75+Q75+T75+Z75</f>
        <v>8000</v>
      </c>
      <c r="C75" s="23">
        <f t="shared" ref="C75:D90" si="93">F75+I75+L75+O75+R75+U75+AA75</f>
        <v>8000</v>
      </c>
      <c r="D75" s="23">
        <f t="shared" si="93"/>
        <v>0</v>
      </c>
      <c r="E75" s="23"/>
      <c r="F75" s="23"/>
      <c r="G75" s="23">
        <f t="shared" ref="G75:G182" si="94">F75-E75</f>
        <v>0</v>
      </c>
      <c r="H75" s="23"/>
      <c r="I75" s="23"/>
      <c r="J75" s="23">
        <f t="shared" ref="J75:J182" si="95">I75-H75</f>
        <v>0</v>
      </c>
      <c r="K75" s="23">
        <v>8000</v>
      </c>
      <c r="L75" s="23">
        <v>8000</v>
      </c>
      <c r="M75" s="23">
        <f t="shared" ref="M75:M182" si="96">L75-K75</f>
        <v>0</v>
      </c>
      <c r="N75" s="23"/>
      <c r="O75" s="23"/>
      <c r="P75" s="23">
        <f t="shared" ref="P75:P182" si="97">O75-N75</f>
        <v>0</v>
      </c>
      <c r="Q75" s="23"/>
      <c r="R75" s="23"/>
      <c r="S75" s="23">
        <f t="shared" ref="S75:S182" si="98">R75-Q75</f>
        <v>0</v>
      </c>
      <c r="T75" s="23"/>
      <c r="U75" s="23"/>
      <c r="V75" s="23">
        <f t="shared" ref="V75:V182" si="99">U75-T75</f>
        <v>0</v>
      </c>
      <c r="W75" s="23"/>
      <c r="X75" s="23"/>
      <c r="Y75" s="23">
        <f t="shared" ref="Y75:Y182" si="100">X75-W75</f>
        <v>0</v>
      </c>
      <c r="Z75" s="23"/>
      <c r="AA75" s="23"/>
      <c r="AB75" s="23">
        <f t="shared" ref="AB75:AB182" si="101">AA75-Z75</f>
        <v>0</v>
      </c>
    </row>
    <row r="76" spans="1:28" s="17" customFormat="1" x14ac:dyDescent="0.25">
      <c r="A76" s="30" t="s">
        <v>70</v>
      </c>
      <c r="B76" s="23">
        <f t="shared" si="92"/>
        <v>11000</v>
      </c>
      <c r="C76" s="23">
        <f t="shared" si="93"/>
        <v>14000</v>
      </c>
      <c r="D76" s="23">
        <f t="shared" si="93"/>
        <v>3000</v>
      </c>
      <c r="E76" s="23"/>
      <c r="F76" s="23"/>
      <c r="G76" s="23">
        <f t="shared" si="94"/>
        <v>0</v>
      </c>
      <c r="H76" s="23"/>
      <c r="I76" s="23"/>
      <c r="J76" s="23">
        <f t="shared" si="95"/>
        <v>0</v>
      </c>
      <c r="K76" s="23">
        <v>11000</v>
      </c>
      <c r="L76" s="23">
        <f>11000+3000</f>
        <v>14000</v>
      </c>
      <c r="M76" s="23">
        <f t="shared" si="96"/>
        <v>3000</v>
      </c>
      <c r="N76" s="23"/>
      <c r="O76" s="23"/>
      <c r="P76" s="23">
        <f t="shared" si="97"/>
        <v>0</v>
      </c>
      <c r="Q76" s="23"/>
      <c r="R76" s="23"/>
      <c r="S76" s="23">
        <f t="shared" si="98"/>
        <v>0</v>
      </c>
      <c r="T76" s="23"/>
      <c r="U76" s="23"/>
      <c r="V76" s="23">
        <f t="shared" si="99"/>
        <v>0</v>
      </c>
      <c r="W76" s="23"/>
      <c r="X76" s="23"/>
      <c r="Y76" s="23">
        <f t="shared" si="100"/>
        <v>0</v>
      </c>
      <c r="Z76" s="23"/>
      <c r="AA76" s="23"/>
      <c r="AB76" s="23">
        <f t="shared" si="101"/>
        <v>0</v>
      </c>
    </row>
    <row r="77" spans="1:28" s="17" customFormat="1" x14ac:dyDescent="0.25">
      <c r="A77" s="30" t="s">
        <v>71</v>
      </c>
      <c r="B77" s="23">
        <f t="shared" si="92"/>
        <v>5000</v>
      </c>
      <c r="C77" s="23">
        <f t="shared" si="93"/>
        <v>5000</v>
      </c>
      <c r="D77" s="23">
        <f t="shared" si="93"/>
        <v>0</v>
      </c>
      <c r="E77" s="23"/>
      <c r="F77" s="23"/>
      <c r="G77" s="23">
        <f t="shared" si="94"/>
        <v>0</v>
      </c>
      <c r="H77" s="23"/>
      <c r="I77" s="23"/>
      <c r="J77" s="23">
        <f t="shared" si="95"/>
        <v>0</v>
      </c>
      <c r="K77" s="23">
        <v>5000</v>
      </c>
      <c r="L77" s="23">
        <v>5000</v>
      </c>
      <c r="M77" s="23">
        <f t="shared" si="96"/>
        <v>0</v>
      </c>
      <c r="N77" s="23"/>
      <c r="O77" s="23"/>
      <c r="P77" s="23">
        <f t="shared" si="97"/>
        <v>0</v>
      </c>
      <c r="Q77" s="23"/>
      <c r="R77" s="23"/>
      <c r="S77" s="23">
        <f t="shared" si="98"/>
        <v>0</v>
      </c>
      <c r="T77" s="23"/>
      <c r="U77" s="23"/>
      <c r="V77" s="23">
        <f t="shared" si="99"/>
        <v>0</v>
      </c>
      <c r="W77" s="23"/>
      <c r="X77" s="23"/>
      <c r="Y77" s="23">
        <f t="shared" si="100"/>
        <v>0</v>
      </c>
      <c r="Z77" s="23"/>
      <c r="AA77" s="23"/>
      <c r="AB77" s="23">
        <f t="shared" si="101"/>
        <v>0</v>
      </c>
    </row>
    <row r="78" spans="1:28" s="17" customFormat="1" x14ac:dyDescent="0.25">
      <c r="A78" s="30" t="s">
        <v>72</v>
      </c>
      <c r="B78" s="23">
        <f t="shared" si="92"/>
        <v>11000</v>
      </c>
      <c r="C78" s="23">
        <f t="shared" si="93"/>
        <v>11000</v>
      </c>
      <c r="D78" s="23">
        <f t="shared" si="93"/>
        <v>0</v>
      </c>
      <c r="E78" s="23"/>
      <c r="F78" s="23"/>
      <c r="G78" s="23">
        <f t="shared" si="94"/>
        <v>0</v>
      </c>
      <c r="H78" s="23"/>
      <c r="I78" s="23"/>
      <c r="J78" s="23">
        <f t="shared" si="95"/>
        <v>0</v>
      </c>
      <c r="K78" s="23">
        <v>11000</v>
      </c>
      <c r="L78" s="23">
        <v>11000</v>
      </c>
      <c r="M78" s="23">
        <f t="shared" si="96"/>
        <v>0</v>
      </c>
      <c r="N78" s="23"/>
      <c r="O78" s="23"/>
      <c r="P78" s="23">
        <f t="shared" si="97"/>
        <v>0</v>
      </c>
      <c r="Q78" s="23"/>
      <c r="R78" s="23"/>
      <c r="S78" s="23">
        <f t="shared" si="98"/>
        <v>0</v>
      </c>
      <c r="T78" s="23"/>
      <c r="U78" s="23"/>
      <c r="V78" s="23">
        <f t="shared" si="99"/>
        <v>0</v>
      </c>
      <c r="W78" s="23"/>
      <c r="X78" s="23"/>
      <c r="Y78" s="23">
        <f t="shared" si="100"/>
        <v>0</v>
      </c>
      <c r="Z78" s="23"/>
      <c r="AA78" s="23"/>
      <c r="AB78" s="23">
        <f t="shared" si="101"/>
        <v>0</v>
      </c>
    </row>
    <row r="79" spans="1:28" s="17" customFormat="1" x14ac:dyDescent="0.25">
      <c r="A79" s="30" t="s">
        <v>73</v>
      </c>
      <c r="B79" s="23">
        <f t="shared" si="92"/>
        <v>9000</v>
      </c>
      <c r="C79" s="23">
        <f t="shared" si="93"/>
        <v>9000</v>
      </c>
      <c r="D79" s="23">
        <f t="shared" si="93"/>
        <v>0</v>
      </c>
      <c r="E79" s="23"/>
      <c r="F79" s="23"/>
      <c r="G79" s="23">
        <f t="shared" si="94"/>
        <v>0</v>
      </c>
      <c r="H79" s="23"/>
      <c r="I79" s="23"/>
      <c r="J79" s="23">
        <f t="shared" si="95"/>
        <v>0</v>
      </c>
      <c r="K79" s="23">
        <v>9000</v>
      </c>
      <c r="L79" s="23">
        <v>9000</v>
      </c>
      <c r="M79" s="23">
        <f t="shared" si="96"/>
        <v>0</v>
      </c>
      <c r="N79" s="23"/>
      <c r="O79" s="23"/>
      <c r="P79" s="23">
        <f t="shared" si="97"/>
        <v>0</v>
      </c>
      <c r="Q79" s="23"/>
      <c r="R79" s="23"/>
      <c r="S79" s="23">
        <f t="shared" si="98"/>
        <v>0</v>
      </c>
      <c r="T79" s="23"/>
      <c r="U79" s="23"/>
      <c r="V79" s="23">
        <f t="shared" si="99"/>
        <v>0</v>
      </c>
      <c r="W79" s="23"/>
      <c r="X79" s="23"/>
      <c r="Y79" s="23">
        <f t="shared" si="100"/>
        <v>0</v>
      </c>
      <c r="Z79" s="23"/>
      <c r="AA79" s="23"/>
      <c r="AB79" s="23">
        <f t="shared" si="101"/>
        <v>0</v>
      </c>
    </row>
    <row r="80" spans="1:28" s="17" customFormat="1" ht="31.5" x14ac:dyDescent="0.25">
      <c r="A80" s="30" t="s">
        <v>74</v>
      </c>
      <c r="B80" s="23">
        <f t="shared" si="92"/>
        <v>12270</v>
      </c>
      <c r="C80" s="23">
        <f t="shared" si="93"/>
        <v>12270</v>
      </c>
      <c r="D80" s="23">
        <f t="shared" si="93"/>
        <v>0</v>
      </c>
      <c r="E80" s="23"/>
      <c r="F80" s="23"/>
      <c r="G80" s="23">
        <f t="shared" si="94"/>
        <v>0</v>
      </c>
      <c r="H80" s="23"/>
      <c r="I80" s="23"/>
      <c r="J80" s="23">
        <f t="shared" si="95"/>
        <v>0</v>
      </c>
      <c r="K80" s="23">
        <f>3270+9000</f>
        <v>12270</v>
      </c>
      <c r="L80" s="23">
        <f>3270+9000</f>
        <v>12270</v>
      </c>
      <c r="M80" s="23">
        <f t="shared" si="96"/>
        <v>0</v>
      </c>
      <c r="N80" s="23"/>
      <c r="O80" s="23"/>
      <c r="P80" s="23">
        <f t="shared" si="97"/>
        <v>0</v>
      </c>
      <c r="Q80" s="23"/>
      <c r="R80" s="23"/>
      <c r="S80" s="23">
        <f t="shared" si="98"/>
        <v>0</v>
      </c>
      <c r="T80" s="23"/>
      <c r="U80" s="23"/>
      <c r="V80" s="23">
        <f t="shared" si="99"/>
        <v>0</v>
      </c>
      <c r="W80" s="23"/>
      <c r="X80" s="23"/>
      <c r="Y80" s="23">
        <f t="shared" si="100"/>
        <v>0</v>
      </c>
      <c r="Z80" s="23"/>
      <c r="AA80" s="23"/>
      <c r="AB80" s="23">
        <f t="shared" si="101"/>
        <v>0</v>
      </c>
    </row>
    <row r="81" spans="1:28" s="17" customFormat="1" ht="31.5" x14ac:dyDescent="0.25">
      <c r="A81" s="30" t="s">
        <v>75</v>
      </c>
      <c r="B81" s="23">
        <f t="shared" si="92"/>
        <v>12034</v>
      </c>
      <c r="C81" s="23">
        <f t="shared" si="93"/>
        <v>12034</v>
      </c>
      <c r="D81" s="23">
        <f t="shared" si="93"/>
        <v>0</v>
      </c>
      <c r="E81" s="23"/>
      <c r="F81" s="23"/>
      <c r="G81" s="23">
        <f t="shared" si="94"/>
        <v>0</v>
      </c>
      <c r="H81" s="23"/>
      <c r="I81" s="23"/>
      <c r="J81" s="23">
        <f t="shared" si="95"/>
        <v>0</v>
      </c>
      <c r="K81" s="23">
        <f>3034+9000</f>
        <v>12034</v>
      </c>
      <c r="L81" s="23">
        <f>3034+9000</f>
        <v>12034</v>
      </c>
      <c r="M81" s="23">
        <f t="shared" si="96"/>
        <v>0</v>
      </c>
      <c r="N81" s="23"/>
      <c r="O81" s="23"/>
      <c r="P81" s="23">
        <f t="shared" si="97"/>
        <v>0</v>
      </c>
      <c r="Q81" s="23"/>
      <c r="R81" s="23"/>
      <c r="S81" s="23">
        <f t="shared" si="98"/>
        <v>0</v>
      </c>
      <c r="T81" s="23"/>
      <c r="U81" s="23"/>
      <c r="V81" s="23">
        <f t="shared" si="99"/>
        <v>0</v>
      </c>
      <c r="W81" s="23"/>
      <c r="X81" s="23"/>
      <c r="Y81" s="23">
        <f t="shared" si="100"/>
        <v>0</v>
      </c>
      <c r="Z81" s="23"/>
      <c r="AA81" s="23"/>
      <c r="AB81" s="23">
        <f t="shared" si="101"/>
        <v>0</v>
      </c>
    </row>
    <row r="82" spans="1:28" s="17" customFormat="1" x14ac:dyDescent="0.25">
      <c r="A82" s="30" t="s">
        <v>76</v>
      </c>
      <c r="B82" s="23">
        <f t="shared" si="92"/>
        <v>9000</v>
      </c>
      <c r="C82" s="23">
        <f t="shared" si="93"/>
        <v>9000</v>
      </c>
      <c r="D82" s="23">
        <f t="shared" si="93"/>
        <v>0</v>
      </c>
      <c r="E82" s="23"/>
      <c r="F82" s="23"/>
      <c r="G82" s="23">
        <f t="shared" si="94"/>
        <v>0</v>
      </c>
      <c r="H82" s="23"/>
      <c r="I82" s="23"/>
      <c r="J82" s="23">
        <f t="shared" si="95"/>
        <v>0</v>
      </c>
      <c r="K82" s="23">
        <v>9000</v>
      </c>
      <c r="L82" s="23">
        <v>9000</v>
      </c>
      <c r="M82" s="23">
        <f t="shared" si="96"/>
        <v>0</v>
      </c>
      <c r="N82" s="23"/>
      <c r="O82" s="23"/>
      <c r="P82" s="23">
        <f t="shared" si="97"/>
        <v>0</v>
      </c>
      <c r="Q82" s="23"/>
      <c r="R82" s="23"/>
      <c r="S82" s="23">
        <f t="shared" si="98"/>
        <v>0</v>
      </c>
      <c r="T82" s="23"/>
      <c r="U82" s="23"/>
      <c r="V82" s="23">
        <f t="shared" si="99"/>
        <v>0</v>
      </c>
      <c r="W82" s="23"/>
      <c r="X82" s="23"/>
      <c r="Y82" s="23">
        <f t="shared" si="100"/>
        <v>0</v>
      </c>
      <c r="Z82" s="23"/>
      <c r="AA82" s="23"/>
      <c r="AB82" s="23">
        <f t="shared" si="101"/>
        <v>0</v>
      </c>
    </row>
    <row r="83" spans="1:28" s="17" customFormat="1" x14ac:dyDescent="0.25">
      <c r="A83" s="30" t="s">
        <v>77</v>
      </c>
      <c r="B83" s="23">
        <f t="shared" si="92"/>
        <v>10000</v>
      </c>
      <c r="C83" s="23">
        <f t="shared" si="93"/>
        <v>10000</v>
      </c>
      <c r="D83" s="23">
        <f t="shared" si="93"/>
        <v>0</v>
      </c>
      <c r="E83" s="23"/>
      <c r="F83" s="23"/>
      <c r="G83" s="23">
        <f t="shared" si="94"/>
        <v>0</v>
      </c>
      <c r="H83" s="23"/>
      <c r="I83" s="23"/>
      <c r="J83" s="23">
        <f t="shared" si="95"/>
        <v>0</v>
      </c>
      <c r="K83" s="23">
        <v>10000</v>
      </c>
      <c r="L83" s="23">
        <v>10000</v>
      </c>
      <c r="M83" s="23">
        <f t="shared" si="96"/>
        <v>0</v>
      </c>
      <c r="N83" s="23"/>
      <c r="O83" s="23"/>
      <c r="P83" s="23">
        <f t="shared" si="97"/>
        <v>0</v>
      </c>
      <c r="Q83" s="23"/>
      <c r="R83" s="23"/>
      <c r="S83" s="23">
        <f t="shared" si="98"/>
        <v>0</v>
      </c>
      <c r="T83" s="23"/>
      <c r="U83" s="23"/>
      <c r="V83" s="23">
        <f t="shared" si="99"/>
        <v>0</v>
      </c>
      <c r="W83" s="23"/>
      <c r="X83" s="23"/>
      <c r="Y83" s="23">
        <f t="shared" si="100"/>
        <v>0</v>
      </c>
      <c r="Z83" s="23"/>
      <c r="AA83" s="23"/>
      <c r="AB83" s="23">
        <f t="shared" si="101"/>
        <v>0</v>
      </c>
    </row>
    <row r="84" spans="1:28" s="17" customFormat="1" x14ac:dyDescent="0.25">
      <c r="A84" s="30" t="s">
        <v>78</v>
      </c>
      <c r="B84" s="23">
        <f t="shared" si="92"/>
        <v>5500</v>
      </c>
      <c r="C84" s="23">
        <f t="shared" si="93"/>
        <v>5500</v>
      </c>
      <c r="D84" s="23">
        <f t="shared" si="93"/>
        <v>0</v>
      </c>
      <c r="E84" s="23"/>
      <c r="F84" s="23"/>
      <c r="G84" s="23">
        <f t="shared" si="94"/>
        <v>0</v>
      </c>
      <c r="H84" s="23"/>
      <c r="I84" s="23"/>
      <c r="J84" s="23">
        <f t="shared" si="95"/>
        <v>0</v>
      </c>
      <c r="K84" s="23">
        <v>5500</v>
      </c>
      <c r="L84" s="23">
        <v>5500</v>
      </c>
      <c r="M84" s="23">
        <f t="shared" si="96"/>
        <v>0</v>
      </c>
      <c r="N84" s="23"/>
      <c r="O84" s="23"/>
      <c r="P84" s="23">
        <f t="shared" si="97"/>
        <v>0</v>
      </c>
      <c r="Q84" s="23"/>
      <c r="R84" s="23"/>
      <c r="S84" s="23">
        <f t="shared" si="98"/>
        <v>0</v>
      </c>
      <c r="T84" s="23"/>
      <c r="U84" s="23"/>
      <c r="V84" s="23">
        <f t="shared" si="99"/>
        <v>0</v>
      </c>
      <c r="W84" s="23"/>
      <c r="X84" s="23"/>
      <c r="Y84" s="23">
        <f t="shared" si="100"/>
        <v>0</v>
      </c>
      <c r="Z84" s="23"/>
      <c r="AA84" s="23"/>
      <c r="AB84" s="23">
        <f t="shared" si="101"/>
        <v>0</v>
      </c>
    </row>
    <row r="85" spans="1:28" s="17" customFormat="1" x14ac:dyDescent="0.25">
      <c r="A85" s="30" t="s">
        <v>79</v>
      </c>
      <c r="B85" s="23">
        <f t="shared" si="92"/>
        <v>9000</v>
      </c>
      <c r="C85" s="23">
        <f t="shared" si="93"/>
        <v>9000</v>
      </c>
      <c r="D85" s="23">
        <f t="shared" si="93"/>
        <v>0</v>
      </c>
      <c r="E85" s="23"/>
      <c r="F85" s="23"/>
      <c r="G85" s="23">
        <f t="shared" si="94"/>
        <v>0</v>
      </c>
      <c r="H85" s="23"/>
      <c r="I85" s="23"/>
      <c r="J85" s="23">
        <f t="shared" si="95"/>
        <v>0</v>
      </c>
      <c r="K85" s="23">
        <v>9000</v>
      </c>
      <c r="L85" s="23">
        <v>9000</v>
      </c>
      <c r="M85" s="23">
        <f t="shared" si="96"/>
        <v>0</v>
      </c>
      <c r="N85" s="23"/>
      <c r="O85" s="23"/>
      <c r="P85" s="23">
        <f t="shared" si="97"/>
        <v>0</v>
      </c>
      <c r="Q85" s="23"/>
      <c r="R85" s="23"/>
      <c r="S85" s="23">
        <f t="shared" si="98"/>
        <v>0</v>
      </c>
      <c r="T85" s="23"/>
      <c r="U85" s="23"/>
      <c r="V85" s="23">
        <f t="shared" si="99"/>
        <v>0</v>
      </c>
      <c r="W85" s="23"/>
      <c r="X85" s="23"/>
      <c r="Y85" s="23">
        <f t="shared" si="100"/>
        <v>0</v>
      </c>
      <c r="Z85" s="23"/>
      <c r="AA85" s="23"/>
      <c r="AB85" s="23">
        <f t="shared" si="101"/>
        <v>0</v>
      </c>
    </row>
    <row r="86" spans="1:28" s="17" customFormat="1" x14ac:dyDescent="0.25">
      <c r="A86" s="30" t="s">
        <v>80</v>
      </c>
      <c r="B86" s="23">
        <f t="shared" si="92"/>
        <v>5500</v>
      </c>
      <c r="C86" s="23">
        <f t="shared" si="93"/>
        <v>5500</v>
      </c>
      <c r="D86" s="23">
        <f t="shared" si="93"/>
        <v>0</v>
      </c>
      <c r="E86" s="23"/>
      <c r="F86" s="23"/>
      <c r="G86" s="23">
        <f t="shared" si="94"/>
        <v>0</v>
      </c>
      <c r="H86" s="23"/>
      <c r="I86" s="23"/>
      <c r="J86" s="23">
        <f t="shared" si="95"/>
        <v>0</v>
      </c>
      <c r="K86" s="23">
        <v>5500</v>
      </c>
      <c r="L86" s="23">
        <v>5500</v>
      </c>
      <c r="M86" s="23">
        <f t="shared" si="96"/>
        <v>0</v>
      </c>
      <c r="N86" s="23"/>
      <c r="O86" s="23"/>
      <c r="P86" s="23">
        <f t="shared" si="97"/>
        <v>0</v>
      </c>
      <c r="Q86" s="23"/>
      <c r="R86" s="23"/>
      <c r="S86" s="23">
        <f t="shared" si="98"/>
        <v>0</v>
      </c>
      <c r="T86" s="23"/>
      <c r="U86" s="23"/>
      <c r="V86" s="23">
        <f t="shared" si="99"/>
        <v>0</v>
      </c>
      <c r="W86" s="23"/>
      <c r="X86" s="23"/>
      <c r="Y86" s="23">
        <f t="shared" si="100"/>
        <v>0</v>
      </c>
      <c r="Z86" s="23"/>
      <c r="AA86" s="23"/>
      <c r="AB86" s="23">
        <f t="shared" si="101"/>
        <v>0</v>
      </c>
    </row>
    <row r="87" spans="1:28" s="17" customFormat="1" ht="31.5" x14ac:dyDescent="0.25">
      <c r="A87" s="30" t="s">
        <v>81</v>
      </c>
      <c r="B87" s="23">
        <f t="shared" si="92"/>
        <v>8727</v>
      </c>
      <c r="C87" s="23">
        <f t="shared" si="93"/>
        <v>8727</v>
      </c>
      <c r="D87" s="23">
        <f t="shared" si="93"/>
        <v>0</v>
      </c>
      <c r="E87" s="23"/>
      <c r="F87" s="23"/>
      <c r="G87" s="23">
        <f t="shared" si="94"/>
        <v>0</v>
      </c>
      <c r="H87" s="23"/>
      <c r="I87" s="23"/>
      <c r="J87" s="23">
        <f t="shared" si="95"/>
        <v>0</v>
      </c>
      <c r="K87" s="23">
        <f>2000+1227+5500</f>
        <v>8727</v>
      </c>
      <c r="L87" s="23">
        <f>2000+1227+5500</f>
        <v>8727</v>
      </c>
      <c r="M87" s="23">
        <f t="shared" si="96"/>
        <v>0</v>
      </c>
      <c r="N87" s="23"/>
      <c r="O87" s="23"/>
      <c r="P87" s="23">
        <f t="shared" si="97"/>
        <v>0</v>
      </c>
      <c r="Q87" s="23"/>
      <c r="R87" s="23"/>
      <c r="S87" s="23">
        <f t="shared" si="98"/>
        <v>0</v>
      </c>
      <c r="T87" s="23"/>
      <c r="U87" s="23"/>
      <c r="V87" s="23">
        <f t="shared" si="99"/>
        <v>0</v>
      </c>
      <c r="W87" s="23"/>
      <c r="X87" s="23"/>
      <c r="Y87" s="23">
        <f t="shared" si="100"/>
        <v>0</v>
      </c>
      <c r="Z87" s="23"/>
      <c r="AA87" s="23"/>
      <c r="AB87" s="23">
        <f t="shared" si="101"/>
        <v>0</v>
      </c>
    </row>
    <row r="88" spans="1:28" s="17" customFormat="1" x14ac:dyDescent="0.25">
      <c r="A88" s="30" t="s">
        <v>82</v>
      </c>
      <c r="B88" s="23">
        <f t="shared" si="92"/>
        <v>5500</v>
      </c>
      <c r="C88" s="23">
        <f t="shared" si="93"/>
        <v>5500</v>
      </c>
      <c r="D88" s="23">
        <f t="shared" si="93"/>
        <v>0</v>
      </c>
      <c r="E88" s="23"/>
      <c r="F88" s="23"/>
      <c r="G88" s="23">
        <f t="shared" si="94"/>
        <v>0</v>
      </c>
      <c r="H88" s="23"/>
      <c r="I88" s="23"/>
      <c r="J88" s="23">
        <f t="shared" si="95"/>
        <v>0</v>
      </c>
      <c r="K88" s="23">
        <v>5500</v>
      </c>
      <c r="L88" s="23">
        <v>5500</v>
      </c>
      <c r="M88" s="23">
        <f t="shared" si="96"/>
        <v>0</v>
      </c>
      <c r="N88" s="23"/>
      <c r="O88" s="23"/>
      <c r="P88" s="23">
        <f t="shared" si="97"/>
        <v>0</v>
      </c>
      <c r="Q88" s="23"/>
      <c r="R88" s="23"/>
      <c r="S88" s="23">
        <f t="shared" si="98"/>
        <v>0</v>
      </c>
      <c r="T88" s="23"/>
      <c r="U88" s="23"/>
      <c r="V88" s="23">
        <f t="shared" si="99"/>
        <v>0</v>
      </c>
      <c r="W88" s="23"/>
      <c r="X88" s="23"/>
      <c r="Y88" s="23">
        <f t="shared" si="100"/>
        <v>0</v>
      </c>
      <c r="Z88" s="23"/>
      <c r="AA88" s="23"/>
      <c r="AB88" s="23">
        <f t="shared" si="101"/>
        <v>0</v>
      </c>
    </row>
    <row r="89" spans="1:28" s="17" customFormat="1" x14ac:dyDescent="0.25">
      <c r="A89" s="30" t="s">
        <v>83</v>
      </c>
      <c r="B89" s="23">
        <f t="shared" si="92"/>
        <v>4500</v>
      </c>
      <c r="C89" s="23">
        <f t="shared" si="93"/>
        <v>4500</v>
      </c>
      <c r="D89" s="23">
        <f t="shared" si="93"/>
        <v>0</v>
      </c>
      <c r="E89" s="23"/>
      <c r="F89" s="23"/>
      <c r="G89" s="23">
        <f t="shared" si="94"/>
        <v>0</v>
      </c>
      <c r="H89" s="23"/>
      <c r="I89" s="23"/>
      <c r="J89" s="23">
        <f t="shared" si="95"/>
        <v>0</v>
      </c>
      <c r="K89" s="23">
        <v>4500</v>
      </c>
      <c r="L89" s="23">
        <v>4500</v>
      </c>
      <c r="M89" s="23">
        <f t="shared" si="96"/>
        <v>0</v>
      </c>
      <c r="N89" s="23"/>
      <c r="O89" s="23"/>
      <c r="P89" s="23">
        <f t="shared" si="97"/>
        <v>0</v>
      </c>
      <c r="Q89" s="23"/>
      <c r="R89" s="23"/>
      <c r="S89" s="23">
        <f t="shared" si="98"/>
        <v>0</v>
      </c>
      <c r="T89" s="23"/>
      <c r="U89" s="23"/>
      <c r="V89" s="23">
        <f t="shared" si="99"/>
        <v>0</v>
      </c>
      <c r="W89" s="23"/>
      <c r="X89" s="23"/>
      <c r="Y89" s="23">
        <f t="shared" si="100"/>
        <v>0</v>
      </c>
      <c r="Z89" s="23"/>
      <c r="AA89" s="23"/>
      <c r="AB89" s="23">
        <f t="shared" si="101"/>
        <v>0</v>
      </c>
    </row>
    <row r="90" spans="1:28" s="17" customFormat="1" x14ac:dyDescent="0.25">
      <c r="A90" s="30" t="s">
        <v>84</v>
      </c>
      <c r="B90" s="23">
        <f t="shared" si="92"/>
        <v>4500</v>
      </c>
      <c r="C90" s="23">
        <f t="shared" si="93"/>
        <v>4500</v>
      </c>
      <c r="D90" s="23">
        <f t="shared" si="93"/>
        <v>0</v>
      </c>
      <c r="E90" s="23"/>
      <c r="F90" s="23"/>
      <c r="G90" s="23">
        <f t="shared" si="94"/>
        <v>0</v>
      </c>
      <c r="H90" s="23"/>
      <c r="I90" s="23"/>
      <c r="J90" s="23">
        <f t="shared" si="95"/>
        <v>0</v>
      </c>
      <c r="K90" s="23">
        <v>4500</v>
      </c>
      <c r="L90" s="23">
        <v>4500</v>
      </c>
      <c r="M90" s="23">
        <f t="shared" si="96"/>
        <v>0</v>
      </c>
      <c r="N90" s="23"/>
      <c r="O90" s="23"/>
      <c r="P90" s="23">
        <f t="shared" si="97"/>
        <v>0</v>
      </c>
      <c r="Q90" s="23"/>
      <c r="R90" s="23"/>
      <c r="S90" s="23">
        <f t="shared" si="98"/>
        <v>0</v>
      </c>
      <c r="T90" s="23"/>
      <c r="U90" s="23"/>
      <c r="V90" s="23">
        <f t="shared" si="99"/>
        <v>0</v>
      </c>
      <c r="W90" s="23"/>
      <c r="X90" s="23"/>
      <c r="Y90" s="23">
        <f t="shared" si="100"/>
        <v>0</v>
      </c>
      <c r="Z90" s="23"/>
      <c r="AA90" s="23"/>
      <c r="AB90" s="23">
        <f t="shared" si="101"/>
        <v>0</v>
      </c>
    </row>
    <row r="91" spans="1:28" s="17" customFormat="1" x14ac:dyDescent="0.25">
      <c r="A91" s="30" t="s">
        <v>85</v>
      </c>
      <c r="B91" s="23">
        <f t="shared" si="92"/>
        <v>14000</v>
      </c>
      <c r="C91" s="23">
        <f t="shared" ref="C91:D143" si="102">F91+I91+L91+O91+R91+U91+AA91</f>
        <v>14000</v>
      </c>
      <c r="D91" s="23">
        <f t="shared" si="102"/>
        <v>0</v>
      </c>
      <c r="E91" s="23"/>
      <c r="F91" s="23"/>
      <c r="G91" s="23">
        <f t="shared" si="94"/>
        <v>0</v>
      </c>
      <c r="H91" s="23"/>
      <c r="I91" s="23"/>
      <c r="J91" s="23">
        <f t="shared" si="95"/>
        <v>0</v>
      </c>
      <c r="K91" s="23">
        <v>14000</v>
      </c>
      <c r="L91" s="23">
        <v>14000</v>
      </c>
      <c r="M91" s="23">
        <f t="shared" si="96"/>
        <v>0</v>
      </c>
      <c r="N91" s="23"/>
      <c r="O91" s="23"/>
      <c r="P91" s="23">
        <f t="shared" si="97"/>
        <v>0</v>
      </c>
      <c r="Q91" s="23"/>
      <c r="R91" s="23"/>
      <c r="S91" s="23">
        <f t="shared" si="98"/>
        <v>0</v>
      </c>
      <c r="T91" s="23"/>
      <c r="U91" s="23"/>
      <c r="V91" s="23">
        <f t="shared" si="99"/>
        <v>0</v>
      </c>
      <c r="W91" s="23"/>
      <c r="X91" s="23"/>
      <c r="Y91" s="23">
        <f t="shared" si="100"/>
        <v>0</v>
      </c>
      <c r="Z91" s="23"/>
      <c r="AA91" s="23"/>
      <c r="AB91" s="23">
        <f t="shared" si="101"/>
        <v>0</v>
      </c>
    </row>
    <row r="92" spans="1:28" s="17" customFormat="1" x14ac:dyDescent="0.25">
      <c r="A92" s="30" t="s">
        <v>86</v>
      </c>
      <c r="B92" s="23">
        <f t="shared" si="92"/>
        <v>16600</v>
      </c>
      <c r="C92" s="23">
        <f t="shared" si="102"/>
        <v>16600</v>
      </c>
      <c r="D92" s="23">
        <f t="shared" si="102"/>
        <v>0</v>
      </c>
      <c r="E92" s="23"/>
      <c r="F92" s="23"/>
      <c r="G92" s="23">
        <f t="shared" si="94"/>
        <v>0</v>
      </c>
      <c r="H92" s="23">
        <v>3600</v>
      </c>
      <c r="I92" s="23">
        <v>3600</v>
      </c>
      <c r="J92" s="23">
        <f t="shared" si="95"/>
        <v>0</v>
      </c>
      <c r="K92" s="23">
        <v>13000</v>
      </c>
      <c r="L92" s="23">
        <v>13000</v>
      </c>
      <c r="M92" s="23">
        <f t="shared" si="96"/>
        <v>0</v>
      </c>
      <c r="N92" s="23"/>
      <c r="O92" s="23"/>
      <c r="P92" s="23">
        <f t="shared" si="97"/>
        <v>0</v>
      </c>
      <c r="Q92" s="23"/>
      <c r="R92" s="23"/>
      <c r="S92" s="23">
        <f t="shared" si="98"/>
        <v>0</v>
      </c>
      <c r="T92" s="23"/>
      <c r="U92" s="23"/>
      <c r="V92" s="23">
        <f t="shared" si="99"/>
        <v>0</v>
      </c>
      <c r="W92" s="23"/>
      <c r="X92" s="23"/>
      <c r="Y92" s="23">
        <f t="shared" si="100"/>
        <v>0</v>
      </c>
      <c r="Z92" s="23"/>
      <c r="AA92" s="23"/>
      <c r="AB92" s="23">
        <f t="shared" si="101"/>
        <v>0</v>
      </c>
    </row>
    <row r="93" spans="1:28" s="17" customFormat="1" x14ac:dyDescent="0.25">
      <c r="A93" s="30" t="s">
        <v>87</v>
      </c>
      <c r="B93" s="23">
        <f t="shared" si="92"/>
        <v>13000</v>
      </c>
      <c r="C93" s="23">
        <f t="shared" si="102"/>
        <v>13000</v>
      </c>
      <c r="D93" s="23">
        <f t="shared" si="102"/>
        <v>0</v>
      </c>
      <c r="E93" s="23"/>
      <c r="F93" s="23"/>
      <c r="G93" s="23">
        <f t="shared" si="94"/>
        <v>0</v>
      </c>
      <c r="H93" s="23"/>
      <c r="I93" s="23"/>
      <c r="J93" s="23">
        <f t="shared" si="95"/>
        <v>0</v>
      </c>
      <c r="K93" s="23">
        <v>13000</v>
      </c>
      <c r="L93" s="23">
        <v>13000</v>
      </c>
      <c r="M93" s="23">
        <f t="shared" si="96"/>
        <v>0</v>
      </c>
      <c r="N93" s="23"/>
      <c r="O93" s="23"/>
      <c r="P93" s="23">
        <f t="shared" si="97"/>
        <v>0</v>
      </c>
      <c r="Q93" s="23"/>
      <c r="R93" s="23"/>
      <c r="S93" s="23">
        <f t="shared" si="98"/>
        <v>0</v>
      </c>
      <c r="T93" s="23"/>
      <c r="U93" s="23"/>
      <c r="V93" s="23">
        <f t="shared" si="99"/>
        <v>0</v>
      </c>
      <c r="W93" s="23"/>
      <c r="X93" s="23"/>
      <c r="Y93" s="23">
        <f t="shared" si="100"/>
        <v>0</v>
      </c>
      <c r="Z93" s="23"/>
      <c r="AA93" s="23"/>
      <c r="AB93" s="23">
        <f t="shared" si="101"/>
        <v>0</v>
      </c>
    </row>
    <row r="94" spans="1:28" s="17" customFormat="1" x14ac:dyDescent="0.25">
      <c r="A94" s="30" t="s">
        <v>88</v>
      </c>
      <c r="B94" s="23">
        <f t="shared" si="92"/>
        <v>14355</v>
      </c>
      <c r="C94" s="23">
        <f t="shared" si="102"/>
        <v>14355</v>
      </c>
      <c r="D94" s="23">
        <f t="shared" si="102"/>
        <v>0</v>
      </c>
      <c r="E94" s="23"/>
      <c r="F94" s="23"/>
      <c r="G94" s="23">
        <f t="shared" si="94"/>
        <v>0</v>
      </c>
      <c r="H94" s="23">
        <v>1355</v>
      </c>
      <c r="I94" s="23">
        <v>1355</v>
      </c>
      <c r="J94" s="23">
        <f t="shared" si="95"/>
        <v>0</v>
      </c>
      <c r="K94" s="23">
        <v>13000</v>
      </c>
      <c r="L94" s="23">
        <v>13000</v>
      </c>
      <c r="M94" s="23">
        <f t="shared" si="96"/>
        <v>0</v>
      </c>
      <c r="N94" s="23"/>
      <c r="O94" s="23"/>
      <c r="P94" s="23">
        <f t="shared" si="97"/>
        <v>0</v>
      </c>
      <c r="Q94" s="23"/>
      <c r="R94" s="23"/>
      <c r="S94" s="23">
        <f t="shared" si="98"/>
        <v>0</v>
      </c>
      <c r="T94" s="23"/>
      <c r="U94" s="23"/>
      <c r="V94" s="23">
        <f t="shared" si="99"/>
        <v>0</v>
      </c>
      <c r="W94" s="23"/>
      <c r="X94" s="23"/>
      <c r="Y94" s="23">
        <f t="shared" si="100"/>
        <v>0</v>
      </c>
      <c r="Z94" s="23"/>
      <c r="AA94" s="23"/>
      <c r="AB94" s="23">
        <f t="shared" si="101"/>
        <v>0</v>
      </c>
    </row>
    <row r="95" spans="1:28" s="14" customFormat="1" ht="63" x14ac:dyDescent="0.25">
      <c r="A95" s="29" t="s">
        <v>233</v>
      </c>
      <c r="B95" s="16">
        <f t="shared" si="92"/>
        <v>0</v>
      </c>
      <c r="C95" s="16">
        <f t="shared" si="102"/>
        <v>405959</v>
      </c>
      <c r="D95" s="16">
        <f t="shared" si="102"/>
        <v>405959</v>
      </c>
      <c r="E95" s="16">
        <f>SUM(E96:E125)</f>
        <v>0</v>
      </c>
      <c r="F95" s="16">
        <f>SUM(F96:F125)</f>
        <v>0</v>
      </c>
      <c r="G95" s="16">
        <f t="shared" si="94"/>
        <v>0</v>
      </c>
      <c r="H95" s="16">
        <f>SUM(H96:H125)</f>
        <v>0</v>
      </c>
      <c r="I95" s="16">
        <f>SUM(I96:I125)</f>
        <v>0</v>
      </c>
      <c r="J95" s="16">
        <f t="shared" si="95"/>
        <v>0</v>
      </c>
      <c r="K95" s="16">
        <f>SUM(K96:K125)</f>
        <v>0</v>
      </c>
      <c r="L95" s="16">
        <f>SUM(L96:L125)</f>
        <v>405959</v>
      </c>
      <c r="M95" s="16">
        <f t="shared" si="96"/>
        <v>405959</v>
      </c>
      <c r="N95" s="16">
        <f>SUM(N96:N125)</f>
        <v>0</v>
      </c>
      <c r="O95" s="16">
        <f>SUM(O96:O125)</f>
        <v>0</v>
      </c>
      <c r="P95" s="16">
        <f t="shared" si="97"/>
        <v>0</v>
      </c>
      <c r="Q95" s="16">
        <f>SUM(Q96:Q125)</f>
        <v>0</v>
      </c>
      <c r="R95" s="16">
        <f>SUM(R96:R125)</f>
        <v>0</v>
      </c>
      <c r="S95" s="16">
        <f t="shared" si="98"/>
        <v>0</v>
      </c>
      <c r="T95" s="16">
        <f>SUM(T96:T125)</f>
        <v>0</v>
      </c>
      <c r="U95" s="16">
        <f>SUM(U96:U125)</f>
        <v>0</v>
      </c>
      <c r="V95" s="16">
        <f t="shared" si="99"/>
        <v>0</v>
      </c>
      <c r="W95" s="16">
        <f>SUM(W96:W125)</f>
        <v>0</v>
      </c>
      <c r="X95" s="16">
        <f>SUM(X96:X125)</f>
        <v>0</v>
      </c>
      <c r="Y95" s="16">
        <f t="shared" si="100"/>
        <v>0</v>
      </c>
      <c r="Z95" s="16">
        <f>SUM(Z96:Z125)</f>
        <v>0</v>
      </c>
      <c r="AA95" s="16">
        <f>SUM(AA96:AA125)</f>
        <v>0</v>
      </c>
      <c r="AB95" s="16">
        <f t="shared" si="101"/>
        <v>0</v>
      </c>
    </row>
    <row r="96" spans="1:28" s="17" customFormat="1" x14ac:dyDescent="0.25">
      <c r="A96" s="30" t="s">
        <v>234</v>
      </c>
      <c r="B96" s="23">
        <f t="shared" si="92"/>
        <v>0</v>
      </c>
      <c r="C96" s="23">
        <f t="shared" si="102"/>
        <v>15999</v>
      </c>
      <c r="D96" s="23">
        <f t="shared" si="102"/>
        <v>15999</v>
      </c>
      <c r="E96" s="23"/>
      <c r="F96" s="23"/>
      <c r="G96" s="23">
        <f t="shared" si="94"/>
        <v>0</v>
      </c>
      <c r="H96" s="23"/>
      <c r="I96" s="23"/>
      <c r="J96" s="23">
        <f t="shared" si="95"/>
        <v>0</v>
      </c>
      <c r="K96" s="23"/>
      <c r="L96" s="23">
        <v>15999</v>
      </c>
      <c r="M96" s="23">
        <f t="shared" si="96"/>
        <v>15999</v>
      </c>
      <c r="N96" s="23"/>
      <c r="O96" s="23"/>
      <c r="P96" s="23">
        <f t="shared" si="97"/>
        <v>0</v>
      </c>
      <c r="Q96" s="23"/>
      <c r="R96" s="23"/>
      <c r="S96" s="23">
        <f t="shared" si="98"/>
        <v>0</v>
      </c>
      <c r="T96" s="23"/>
      <c r="U96" s="23"/>
      <c r="V96" s="23">
        <f t="shared" si="99"/>
        <v>0</v>
      </c>
      <c r="W96" s="23"/>
      <c r="X96" s="23"/>
      <c r="Y96" s="23">
        <f t="shared" si="100"/>
        <v>0</v>
      </c>
      <c r="Z96" s="23"/>
      <c r="AA96" s="23"/>
      <c r="AB96" s="23">
        <f t="shared" si="101"/>
        <v>0</v>
      </c>
    </row>
    <row r="97" spans="1:28" s="17" customFormat="1" x14ac:dyDescent="0.25">
      <c r="A97" s="30" t="s">
        <v>55</v>
      </c>
      <c r="B97" s="23">
        <f t="shared" si="92"/>
        <v>0</v>
      </c>
      <c r="C97" s="23">
        <f t="shared" si="102"/>
        <v>15999</v>
      </c>
      <c r="D97" s="23">
        <f t="shared" si="102"/>
        <v>15999</v>
      </c>
      <c r="E97" s="23"/>
      <c r="F97" s="23"/>
      <c r="G97" s="23">
        <f t="shared" si="94"/>
        <v>0</v>
      </c>
      <c r="H97" s="23"/>
      <c r="I97" s="23"/>
      <c r="J97" s="23">
        <f t="shared" si="95"/>
        <v>0</v>
      </c>
      <c r="K97" s="23"/>
      <c r="L97" s="23">
        <v>15999</v>
      </c>
      <c r="M97" s="23">
        <f t="shared" si="96"/>
        <v>15999</v>
      </c>
      <c r="N97" s="23"/>
      <c r="O97" s="23"/>
      <c r="P97" s="23">
        <f t="shared" si="97"/>
        <v>0</v>
      </c>
      <c r="Q97" s="23"/>
      <c r="R97" s="23"/>
      <c r="S97" s="23">
        <f t="shared" si="98"/>
        <v>0</v>
      </c>
      <c r="T97" s="23"/>
      <c r="U97" s="23"/>
      <c r="V97" s="23">
        <f t="shared" si="99"/>
        <v>0</v>
      </c>
      <c r="W97" s="23"/>
      <c r="X97" s="23"/>
      <c r="Y97" s="23">
        <f t="shared" si="100"/>
        <v>0</v>
      </c>
      <c r="Z97" s="23"/>
      <c r="AA97" s="23"/>
      <c r="AB97" s="23">
        <f t="shared" si="101"/>
        <v>0</v>
      </c>
    </row>
    <row r="98" spans="1:28" s="17" customFormat="1" x14ac:dyDescent="0.25">
      <c r="A98" s="30" t="s">
        <v>56</v>
      </c>
      <c r="B98" s="23">
        <f t="shared" si="92"/>
        <v>0</v>
      </c>
      <c r="C98" s="23">
        <f t="shared" si="102"/>
        <v>11000</v>
      </c>
      <c r="D98" s="23">
        <f t="shared" si="102"/>
        <v>11000</v>
      </c>
      <c r="E98" s="23"/>
      <c r="F98" s="23"/>
      <c r="G98" s="23">
        <f t="shared" si="94"/>
        <v>0</v>
      </c>
      <c r="H98" s="23"/>
      <c r="I98" s="23"/>
      <c r="J98" s="23">
        <f t="shared" si="95"/>
        <v>0</v>
      </c>
      <c r="K98" s="23"/>
      <c r="L98" s="23">
        <v>11000</v>
      </c>
      <c r="M98" s="23">
        <f t="shared" si="96"/>
        <v>11000</v>
      </c>
      <c r="N98" s="23"/>
      <c r="O98" s="23"/>
      <c r="P98" s="23">
        <f t="shared" si="97"/>
        <v>0</v>
      </c>
      <c r="Q98" s="23"/>
      <c r="R98" s="23"/>
      <c r="S98" s="23">
        <f t="shared" si="98"/>
        <v>0</v>
      </c>
      <c r="T98" s="23"/>
      <c r="U98" s="23"/>
      <c r="V98" s="23">
        <f t="shared" si="99"/>
        <v>0</v>
      </c>
      <c r="W98" s="23"/>
      <c r="X98" s="23"/>
      <c r="Y98" s="23">
        <f t="shared" si="100"/>
        <v>0</v>
      </c>
      <c r="Z98" s="23"/>
      <c r="AA98" s="23"/>
      <c r="AB98" s="23">
        <f t="shared" si="101"/>
        <v>0</v>
      </c>
    </row>
    <row r="99" spans="1:28" s="17" customFormat="1" x14ac:dyDescent="0.25">
      <c r="A99" s="30" t="s">
        <v>57</v>
      </c>
      <c r="B99" s="23">
        <f t="shared" si="92"/>
        <v>0</v>
      </c>
      <c r="C99" s="23">
        <f t="shared" si="102"/>
        <v>10998</v>
      </c>
      <c r="D99" s="23">
        <f t="shared" si="102"/>
        <v>10998</v>
      </c>
      <c r="E99" s="23"/>
      <c r="F99" s="23"/>
      <c r="G99" s="23">
        <f t="shared" si="94"/>
        <v>0</v>
      </c>
      <c r="H99" s="23"/>
      <c r="I99" s="23"/>
      <c r="J99" s="23">
        <f t="shared" si="95"/>
        <v>0</v>
      </c>
      <c r="K99" s="23"/>
      <c r="L99" s="23">
        <v>10998</v>
      </c>
      <c r="M99" s="23">
        <f t="shared" si="96"/>
        <v>10998</v>
      </c>
      <c r="N99" s="23"/>
      <c r="O99" s="23"/>
      <c r="P99" s="23">
        <f t="shared" si="97"/>
        <v>0</v>
      </c>
      <c r="Q99" s="23"/>
      <c r="R99" s="23"/>
      <c r="S99" s="23">
        <f t="shared" si="98"/>
        <v>0</v>
      </c>
      <c r="T99" s="23"/>
      <c r="U99" s="23"/>
      <c r="V99" s="23">
        <f t="shared" si="99"/>
        <v>0</v>
      </c>
      <c r="W99" s="23"/>
      <c r="X99" s="23"/>
      <c r="Y99" s="23">
        <f t="shared" si="100"/>
        <v>0</v>
      </c>
      <c r="Z99" s="23"/>
      <c r="AA99" s="23"/>
      <c r="AB99" s="23">
        <f t="shared" si="101"/>
        <v>0</v>
      </c>
    </row>
    <row r="100" spans="1:28" s="17" customFormat="1" x14ac:dyDescent="0.25">
      <c r="A100" s="30" t="s">
        <v>59</v>
      </c>
      <c r="B100" s="23">
        <f t="shared" si="92"/>
        <v>0</v>
      </c>
      <c r="C100" s="23">
        <f t="shared" si="102"/>
        <v>14999</v>
      </c>
      <c r="D100" s="23">
        <f t="shared" si="102"/>
        <v>14999</v>
      </c>
      <c r="E100" s="23"/>
      <c r="F100" s="23"/>
      <c r="G100" s="23">
        <f t="shared" si="94"/>
        <v>0</v>
      </c>
      <c r="H100" s="23"/>
      <c r="I100" s="23"/>
      <c r="J100" s="23">
        <f t="shared" si="95"/>
        <v>0</v>
      </c>
      <c r="K100" s="23"/>
      <c r="L100" s="23">
        <v>14999</v>
      </c>
      <c r="M100" s="23">
        <f t="shared" si="96"/>
        <v>14999</v>
      </c>
      <c r="N100" s="23"/>
      <c r="O100" s="23"/>
      <c r="P100" s="23">
        <f t="shared" si="97"/>
        <v>0</v>
      </c>
      <c r="Q100" s="23"/>
      <c r="R100" s="23"/>
      <c r="S100" s="23">
        <f t="shared" si="98"/>
        <v>0</v>
      </c>
      <c r="T100" s="23"/>
      <c r="U100" s="23"/>
      <c r="V100" s="23">
        <f t="shared" si="99"/>
        <v>0</v>
      </c>
      <c r="W100" s="23"/>
      <c r="X100" s="23"/>
      <c r="Y100" s="23">
        <f t="shared" si="100"/>
        <v>0</v>
      </c>
      <c r="Z100" s="23"/>
      <c r="AA100" s="23"/>
      <c r="AB100" s="23">
        <f t="shared" si="101"/>
        <v>0</v>
      </c>
    </row>
    <row r="101" spans="1:28" s="17" customFormat="1" x14ac:dyDescent="0.25">
      <c r="A101" s="30" t="s">
        <v>235</v>
      </c>
      <c r="B101" s="23">
        <f t="shared" si="92"/>
        <v>0</v>
      </c>
      <c r="C101" s="23">
        <f t="shared" si="102"/>
        <v>13998</v>
      </c>
      <c r="D101" s="23">
        <f t="shared" si="102"/>
        <v>13998</v>
      </c>
      <c r="E101" s="23"/>
      <c r="F101" s="23"/>
      <c r="G101" s="23">
        <f t="shared" si="94"/>
        <v>0</v>
      </c>
      <c r="H101" s="23"/>
      <c r="I101" s="23"/>
      <c r="J101" s="23">
        <f t="shared" si="95"/>
        <v>0</v>
      </c>
      <c r="K101" s="23"/>
      <c r="L101" s="23">
        <v>13998</v>
      </c>
      <c r="M101" s="23">
        <f t="shared" si="96"/>
        <v>13998</v>
      </c>
      <c r="N101" s="23"/>
      <c r="O101" s="23"/>
      <c r="P101" s="23">
        <f t="shared" si="97"/>
        <v>0</v>
      </c>
      <c r="Q101" s="23"/>
      <c r="R101" s="23"/>
      <c r="S101" s="23">
        <f t="shared" si="98"/>
        <v>0</v>
      </c>
      <c r="T101" s="23"/>
      <c r="U101" s="23"/>
      <c r="V101" s="23">
        <f t="shared" si="99"/>
        <v>0</v>
      </c>
      <c r="W101" s="23"/>
      <c r="X101" s="23"/>
      <c r="Y101" s="23">
        <f t="shared" si="100"/>
        <v>0</v>
      </c>
      <c r="Z101" s="23"/>
      <c r="AA101" s="23"/>
      <c r="AB101" s="23">
        <f t="shared" si="101"/>
        <v>0</v>
      </c>
    </row>
    <row r="102" spans="1:28" s="17" customFormat="1" x14ac:dyDescent="0.25">
      <c r="A102" s="30" t="s">
        <v>61</v>
      </c>
      <c r="B102" s="23">
        <f t="shared" si="92"/>
        <v>0</v>
      </c>
      <c r="C102" s="23">
        <f t="shared" si="102"/>
        <v>10998</v>
      </c>
      <c r="D102" s="23">
        <f t="shared" si="102"/>
        <v>10998</v>
      </c>
      <c r="E102" s="23"/>
      <c r="F102" s="23"/>
      <c r="G102" s="23">
        <f t="shared" si="94"/>
        <v>0</v>
      </c>
      <c r="H102" s="23"/>
      <c r="I102" s="23"/>
      <c r="J102" s="23">
        <f t="shared" si="95"/>
        <v>0</v>
      </c>
      <c r="K102" s="23"/>
      <c r="L102" s="23">
        <v>10998</v>
      </c>
      <c r="M102" s="23">
        <f t="shared" si="96"/>
        <v>10998</v>
      </c>
      <c r="N102" s="23"/>
      <c r="O102" s="23"/>
      <c r="P102" s="23">
        <f t="shared" si="97"/>
        <v>0</v>
      </c>
      <c r="Q102" s="23"/>
      <c r="R102" s="23"/>
      <c r="S102" s="23">
        <f t="shared" si="98"/>
        <v>0</v>
      </c>
      <c r="T102" s="23"/>
      <c r="U102" s="23"/>
      <c r="V102" s="23">
        <f t="shared" si="99"/>
        <v>0</v>
      </c>
      <c r="W102" s="23"/>
      <c r="X102" s="23"/>
      <c r="Y102" s="23">
        <f t="shared" si="100"/>
        <v>0</v>
      </c>
      <c r="Z102" s="23"/>
      <c r="AA102" s="23"/>
      <c r="AB102" s="23">
        <f t="shared" si="101"/>
        <v>0</v>
      </c>
    </row>
    <row r="103" spans="1:28" s="17" customFormat="1" x14ac:dyDescent="0.25">
      <c r="A103" s="30" t="s">
        <v>236</v>
      </c>
      <c r="B103" s="23">
        <f t="shared" si="92"/>
        <v>0</v>
      </c>
      <c r="C103" s="23">
        <f t="shared" si="102"/>
        <v>13998</v>
      </c>
      <c r="D103" s="23">
        <f t="shared" si="102"/>
        <v>13998</v>
      </c>
      <c r="E103" s="23"/>
      <c r="F103" s="23"/>
      <c r="G103" s="23">
        <f t="shared" si="94"/>
        <v>0</v>
      </c>
      <c r="H103" s="23"/>
      <c r="I103" s="23"/>
      <c r="J103" s="23">
        <f t="shared" si="95"/>
        <v>0</v>
      </c>
      <c r="K103" s="23"/>
      <c r="L103" s="23">
        <v>13998</v>
      </c>
      <c r="M103" s="23">
        <f t="shared" si="96"/>
        <v>13998</v>
      </c>
      <c r="N103" s="23"/>
      <c r="O103" s="23"/>
      <c r="P103" s="23">
        <f t="shared" si="97"/>
        <v>0</v>
      </c>
      <c r="Q103" s="23"/>
      <c r="R103" s="23"/>
      <c r="S103" s="23">
        <f t="shared" si="98"/>
        <v>0</v>
      </c>
      <c r="T103" s="23"/>
      <c r="U103" s="23"/>
      <c r="V103" s="23">
        <f t="shared" si="99"/>
        <v>0</v>
      </c>
      <c r="W103" s="23"/>
      <c r="X103" s="23"/>
      <c r="Y103" s="23">
        <f t="shared" si="100"/>
        <v>0</v>
      </c>
      <c r="Z103" s="23"/>
      <c r="AA103" s="23"/>
      <c r="AB103" s="23">
        <f t="shared" si="101"/>
        <v>0</v>
      </c>
    </row>
    <row r="104" spans="1:28" s="17" customFormat="1" x14ac:dyDescent="0.25">
      <c r="A104" s="30" t="s">
        <v>63</v>
      </c>
      <c r="B104" s="23">
        <f t="shared" si="92"/>
        <v>0</v>
      </c>
      <c r="C104" s="23">
        <f t="shared" si="102"/>
        <v>15999</v>
      </c>
      <c r="D104" s="23">
        <f t="shared" si="102"/>
        <v>15999</v>
      </c>
      <c r="E104" s="23"/>
      <c r="F104" s="23"/>
      <c r="G104" s="23">
        <f t="shared" si="94"/>
        <v>0</v>
      </c>
      <c r="H104" s="23"/>
      <c r="I104" s="23"/>
      <c r="J104" s="23">
        <f t="shared" si="95"/>
        <v>0</v>
      </c>
      <c r="K104" s="23"/>
      <c r="L104" s="23">
        <v>15999</v>
      </c>
      <c r="M104" s="23">
        <f t="shared" si="96"/>
        <v>15999</v>
      </c>
      <c r="N104" s="23"/>
      <c r="O104" s="23"/>
      <c r="P104" s="23">
        <f t="shared" si="97"/>
        <v>0</v>
      </c>
      <c r="Q104" s="23"/>
      <c r="R104" s="23"/>
      <c r="S104" s="23">
        <f t="shared" si="98"/>
        <v>0</v>
      </c>
      <c r="T104" s="23"/>
      <c r="U104" s="23"/>
      <c r="V104" s="23">
        <f t="shared" si="99"/>
        <v>0</v>
      </c>
      <c r="W104" s="23"/>
      <c r="X104" s="23"/>
      <c r="Y104" s="23">
        <f t="shared" si="100"/>
        <v>0</v>
      </c>
      <c r="Z104" s="23"/>
      <c r="AA104" s="23"/>
      <c r="AB104" s="23">
        <f t="shared" si="101"/>
        <v>0</v>
      </c>
    </row>
    <row r="105" spans="1:28" s="17" customFormat="1" x14ac:dyDescent="0.25">
      <c r="A105" s="30" t="s">
        <v>237</v>
      </c>
      <c r="B105" s="23">
        <f t="shared" si="92"/>
        <v>0</v>
      </c>
      <c r="C105" s="23">
        <f t="shared" si="102"/>
        <v>13998</v>
      </c>
      <c r="D105" s="23">
        <f t="shared" si="102"/>
        <v>13998</v>
      </c>
      <c r="E105" s="23"/>
      <c r="F105" s="23"/>
      <c r="G105" s="23">
        <f t="shared" si="94"/>
        <v>0</v>
      </c>
      <c r="H105" s="23"/>
      <c r="I105" s="23"/>
      <c r="J105" s="23">
        <f t="shared" si="95"/>
        <v>0</v>
      </c>
      <c r="K105" s="23"/>
      <c r="L105" s="23">
        <v>13998</v>
      </c>
      <c r="M105" s="23">
        <f t="shared" si="96"/>
        <v>13998</v>
      </c>
      <c r="N105" s="23"/>
      <c r="O105" s="23"/>
      <c r="P105" s="23">
        <f t="shared" si="97"/>
        <v>0</v>
      </c>
      <c r="Q105" s="23"/>
      <c r="R105" s="23"/>
      <c r="S105" s="23">
        <f t="shared" si="98"/>
        <v>0</v>
      </c>
      <c r="T105" s="23"/>
      <c r="U105" s="23"/>
      <c r="V105" s="23">
        <f t="shared" si="99"/>
        <v>0</v>
      </c>
      <c r="W105" s="23"/>
      <c r="X105" s="23"/>
      <c r="Y105" s="23">
        <f t="shared" si="100"/>
        <v>0</v>
      </c>
      <c r="Z105" s="23"/>
      <c r="AA105" s="23"/>
      <c r="AB105" s="23">
        <f t="shared" si="101"/>
        <v>0</v>
      </c>
    </row>
    <row r="106" spans="1:28" s="17" customFormat="1" x14ac:dyDescent="0.25">
      <c r="A106" s="30" t="s">
        <v>238</v>
      </c>
      <c r="B106" s="23">
        <f t="shared" si="92"/>
        <v>0</v>
      </c>
      <c r="C106" s="23">
        <f t="shared" si="102"/>
        <v>13998</v>
      </c>
      <c r="D106" s="23">
        <f t="shared" si="102"/>
        <v>13998</v>
      </c>
      <c r="E106" s="23"/>
      <c r="F106" s="23"/>
      <c r="G106" s="23">
        <f t="shared" si="94"/>
        <v>0</v>
      </c>
      <c r="H106" s="23"/>
      <c r="I106" s="23"/>
      <c r="J106" s="23">
        <f t="shared" si="95"/>
        <v>0</v>
      </c>
      <c r="K106" s="23"/>
      <c r="L106" s="23">
        <v>13998</v>
      </c>
      <c r="M106" s="23">
        <f t="shared" si="96"/>
        <v>13998</v>
      </c>
      <c r="N106" s="23"/>
      <c r="O106" s="23"/>
      <c r="P106" s="23">
        <f t="shared" si="97"/>
        <v>0</v>
      </c>
      <c r="Q106" s="23"/>
      <c r="R106" s="23"/>
      <c r="S106" s="23">
        <f t="shared" si="98"/>
        <v>0</v>
      </c>
      <c r="T106" s="23"/>
      <c r="U106" s="23"/>
      <c r="V106" s="23">
        <f t="shared" si="99"/>
        <v>0</v>
      </c>
      <c r="W106" s="23"/>
      <c r="X106" s="23"/>
      <c r="Y106" s="23">
        <f t="shared" si="100"/>
        <v>0</v>
      </c>
      <c r="Z106" s="23"/>
      <c r="AA106" s="23"/>
      <c r="AB106" s="23">
        <f t="shared" si="101"/>
        <v>0</v>
      </c>
    </row>
    <row r="107" spans="1:28" s="17" customFormat="1" x14ac:dyDescent="0.25">
      <c r="A107" s="30" t="s">
        <v>67</v>
      </c>
      <c r="B107" s="23">
        <f t="shared" si="92"/>
        <v>0</v>
      </c>
      <c r="C107" s="23">
        <f t="shared" si="102"/>
        <v>13998</v>
      </c>
      <c r="D107" s="23">
        <f t="shared" si="102"/>
        <v>13998</v>
      </c>
      <c r="E107" s="23"/>
      <c r="F107" s="23"/>
      <c r="G107" s="23">
        <f t="shared" si="94"/>
        <v>0</v>
      </c>
      <c r="H107" s="23"/>
      <c r="I107" s="23"/>
      <c r="J107" s="23">
        <f t="shared" si="95"/>
        <v>0</v>
      </c>
      <c r="K107" s="23"/>
      <c r="L107" s="23">
        <v>13998</v>
      </c>
      <c r="M107" s="23">
        <f t="shared" si="96"/>
        <v>13998</v>
      </c>
      <c r="N107" s="23"/>
      <c r="O107" s="23"/>
      <c r="P107" s="23">
        <f t="shared" si="97"/>
        <v>0</v>
      </c>
      <c r="Q107" s="23"/>
      <c r="R107" s="23"/>
      <c r="S107" s="23">
        <f t="shared" si="98"/>
        <v>0</v>
      </c>
      <c r="T107" s="23"/>
      <c r="U107" s="23"/>
      <c r="V107" s="23">
        <f t="shared" si="99"/>
        <v>0</v>
      </c>
      <c r="W107" s="23"/>
      <c r="X107" s="23"/>
      <c r="Y107" s="23">
        <f t="shared" si="100"/>
        <v>0</v>
      </c>
      <c r="Z107" s="23"/>
      <c r="AA107" s="23"/>
      <c r="AB107" s="23">
        <f t="shared" si="101"/>
        <v>0</v>
      </c>
    </row>
    <row r="108" spans="1:28" s="17" customFormat="1" x14ac:dyDescent="0.25">
      <c r="A108" s="30" t="s">
        <v>69</v>
      </c>
      <c r="B108" s="23">
        <f t="shared" ref="B108:B125" si="103">E108+H108+K108+N108+Q108+T108+Z108</f>
        <v>0</v>
      </c>
      <c r="C108" s="23">
        <f t="shared" si="102"/>
        <v>13998</v>
      </c>
      <c r="D108" s="23">
        <f t="shared" si="102"/>
        <v>13998</v>
      </c>
      <c r="E108" s="23"/>
      <c r="F108" s="23"/>
      <c r="G108" s="23">
        <f t="shared" ref="G108:G125" si="104">F108-E108</f>
        <v>0</v>
      </c>
      <c r="H108" s="23"/>
      <c r="I108" s="23"/>
      <c r="J108" s="23">
        <f t="shared" ref="J108:J125" si="105">I108-H108</f>
        <v>0</v>
      </c>
      <c r="K108" s="23"/>
      <c r="L108" s="23">
        <v>13998</v>
      </c>
      <c r="M108" s="23">
        <f t="shared" ref="M108:M125" si="106">L108-K108</f>
        <v>13998</v>
      </c>
      <c r="N108" s="23"/>
      <c r="O108" s="23"/>
      <c r="P108" s="23">
        <f t="shared" ref="P108:P125" si="107">O108-N108</f>
        <v>0</v>
      </c>
      <c r="Q108" s="23"/>
      <c r="R108" s="23"/>
      <c r="S108" s="23">
        <f t="shared" ref="S108:S125" si="108">R108-Q108</f>
        <v>0</v>
      </c>
      <c r="T108" s="23"/>
      <c r="U108" s="23"/>
      <c r="V108" s="23">
        <f t="shared" ref="V108:V125" si="109">U108-T108</f>
        <v>0</v>
      </c>
      <c r="W108" s="23"/>
      <c r="X108" s="23"/>
      <c r="Y108" s="23">
        <f t="shared" ref="Y108:Y125" si="110">X108-W108</f>
        <v>0</v>
      </c>
      <c r="Z108" s="23"/>
      <c r="AA108" s="23"/>
      <c r="AB108" s="23">
        <f t="shared" ref="AB108:AB125" si="111">AA108-Z108</f>
        <v>0</v>
      </c>
    </row>
    <row r="109" spans="1:28" s="17" customFormat="1" x14ac:dyDescent="0.25">
      <c r="A109" s="30" t="s">
        <v>70</v>
      </c>
      <c r="B109" s="23">
        <f t="shared" si="103"/>
        <v>0</v>
      </c>
      <c r="C109" s="23">
        <f t="shared" si="102"/>
        <v>15999</v>
      </c>
      <c r="D109" s="23">
        <f t="shared" si="102"/>
        <v>15999</v>
      </c>
      <c r="E109" s="23"/>
      <c r="F109" s="23"/>
      <c r="G109" s="23">
        <f t="shared" si="104"/>
        <v>0</v>
      </c>
      <c r="H109" s="23"/>
      <c r="I109" s="23"/>
      <c r="J109" s="23">
        <f t="shared" si="105"/>
        <v>0</v>
      </c>
      <c r="K109" s="23"/>
      <c r="L109" s="23">
        <v>15999</v>
      </c>
      <c r="M109" s="23">
        <f t="shared" si="106"/>
        <v>15999</v>
      </c>
      <c r="N109" s="23"/>
      <c r="O109" s="23"/>
      <c r="P109" s="23">
        <f t="shared" si="107"/>
        <v>0</v>
      </c>
      <c r="Q109" s="23"/>
      <c r="R109" s="23"/>
      <c r="S109" s="23">
        <f t="shared" si="108"/>
        <v>0</v>
      </c>
      <c r="T109" s="23"/>
      <c r="U109" s="23"/>
      <c r="V109" s="23">
        <f t="shared" si="109"/>
        <v>0</v>
      </c>
      <c r="W109" s="23"/>
      <c r="X109" s="23"/>
      <c r="Y109" s="23">
        <f t="shared" si="110"/>
        <v>0</v>
      </c>
      <c r="Z109" s="23"/>
      <c r="AA109" s="23"/>
      <c r="AB109" s="23">
        <f t="shared" si="111"/>
        <v>0</v>
      </c>
    </row>
    <row r="110" spans="1:28" s="17" customFormat="1" x14ac:dyDescent="0.25">
      <c r="A110" s="30" t="s">
        <v>71</v>
      </c>
      <c r="B110" s="23">
        <f t="shared" si="103"/>
        <v>0</v>
      </c>
      <c r="C110" s="23">
        <f t="shared" si="102"/>
        <v>10998</v>
      </c>
      <c r="D110" s="23">
        <f t="shared" si="102"/>
        <v>10998</v>
      </c>
      <c r="E110" s="23"/>
      <c r="F110" s="23"/>
      <c r="G110" s="23">
        <f t="shared" si="104"/>
        <v>0</v>
      </c>
      <c r="H110" s="23"/>
      <c r="I110" s="23"/>
      <c r="J110" s="23">
        <f t="shared" si="105"/>
        <v>0</v>
      </c>
      <c r="K110" s="23"/>
      <c r="L110" s="23">
        <v>10998</v>
      </c>
      <c r="M110" s="23">
        <f t="shared" si="106"/>
        <v>10998</v>
      </c>
      <c r="N110" s="23"/>
      <c r="O110" s="23"/>
      <c r="P110" s="23">
        <f t="shared" si="107"/>
        <v>0</v>
      </c>
      <c r="Q110" s="23"/>
      <c r="R110" s="23"/>
      <c r="S110" s="23">
        <f t="shared" si="108"/>
        <v>0</v>
      </c>
      <c r="T110" s="23"/>
      <c r="U110" s="23"/>
      <c r="V110" s="23">
        <f t="shared" si="109"/>
        <v>0</v>
      </c>
      <c r="W110" s="23"/>
      <c r="X110" s="23"/>
      <c r="Y110" s="23">
        <f t="shared" si="110"/>
        <v>0</v>
      </c>
      <c r="Z110" s="23"/>
      <c r="AA110" s="23"/>
      <c r="AB110" s="23">
        <f t="shared" si="111"/>
        <v>0</v>
      </c>
    </row>
    <row r="111" spans="1:28" s="17" customFormat="1" x14ac:dyDescent="0.25">
      <c r="A111" s="30" t="s">
        <v>72</v>
      </c>
      <c r="B111" s="23">
        <f t="shared" si="103"/>
        <v>0</v>
      </c>
      <c r="C111" s="23">
        <f t="shared" si="102"/>
        <v>15999</v>
      </c>
      <c r="D111" s="23">
        <f t="shared" si="102"/>
        <v>15999</v>
      </c>
      <c r="E111" s="23"/>
      <c r="F111" s="23"/>
      <c r="G111" s="23">
        <f t="shared" si="104"/>
        <v>0</v>
      </c>
      <c r="H111" s="23"/>
      <c r="I111" s="23"/>
      <c r="J111" s="23">
        <f t="shared" si="105"/>
        <v>0</v>
      </c>
      <c r="K111" s="23"/>
      <c r="L111" s="23">
        <v>15999</v>
      </c>
      <c r="M111" s="23">
        <f t="shared" si="106"/>
        <v>15999</v>
      </c>
      <c r="N111" s="23"/>
      <c r="O111" s="23"/>
      <c r="P111" s="23">
        <f t="shared" si="107"/>
        <v>0</v>
      </c>
      <c r="Q111" s="23"/>
      <c r="R111" s="23"/>
      <c r="S111" s="23">
        <f t="shared" si="108"/>
        <v>0</v>
      </c>
      <c r="T111" s="23"/>
      <c r="U111" s="23"/>
      <c r="V111" s="23">
        <f t="shared" si="109"/>
        <v>0</v>
      </c>
      <c r="W111" s="23"/>
      <c r="X111" s="23"/>
      <c r="Y111" s="23">
        <f t="shared" si="110"/>
        <v>0</v>
      </c>
      <c r="Z111" s="23"/>
      <c r="AA111" s="23"/>
      <c r="AB111" s="23">
        <f t="shared" si="111"/>
        <v>0</v>
      </c>
    </row>
    <row r="112" spans="1:28" s="17" customFormat="1" x14ac:dyDescent="0.25">
      <c r="A112" s="30" t="s">
        <v>239</v>
      </c>
      <c r="B112" s="23">
        <f t="shared" si="103"/>
        <v>0</v>
      </c>
      <c r="C112" s="23">
        <f t="shared" si="102"/>
        <v>13998</v>
      </c>
      <c r="D112" s="23">
        <f t="shared" si="102"/>
        <v>13998</v>
      </c>
      <c r="E112" s="23"/>
      <c r="F112" s="23"/>
      <c r="G112" s="23">
        <f t="shared" si="104"/>
        <v>0</v>
      </c>
      <c r="H112" s="23"/>
      <c r="I112" s="23"/>
      <c r="J112" s="23">
        <f t="shared" si="105"/>
        <v>0</v>
      </c>
      <c r="K112" s="23"/>
      <c r="L112" s="23">
        <v>13998</v>
      </c>
      <c r="M112" s="23">
        <f t="shared" si="106"/>
        <v>13998</v>
      </c>
      <c r="N112" s="23"/>
      <c r="O112" s="23"/>
      <c r="P112" s="23">
        <f t="shared" si="107"/>
        <v>0</v>
      </c>
      <c r="Q112" s="23"/>
      <c r="R112" s="23"/>
      <c r="S112" s="23">
        <f t="shared" si="108"/>
        <v>0</v>
      </c>
      <c r="T112" s="23"/>
      <c r="U112" s="23"/>
      <c r="V112" s="23">
        <f t="shared" si="109"/>
        <v>0</v>
      </c>
      <c r="W112" s="23"/>
      <c r="X112" s="23"/>
      <c r="Y112" s="23">
        <f t="shared" si="110"/>
        <v>0</v>
      </c>
      <c r="Z112" s="23"/>
      <c r="AA112" s="23"/>
      <c r="AB112" s="23">
        <f t="shared" si="111"/>
        <v>0</v>
      </c>
    </row>
    <row r="113" spans="1:189" s="17" customFormat="1" x14ac:dyDescent="0.25">
      <c r="A113" s="30" t="s">
        <v>240</v>
      </c>
      <c r="B113" s="23">
        <f t="shared" si="103"/>
        <v>0</v>
      </c>
      <c r="C113" s="23">
        <f t="shared" si="102"/>
        <v>13998</v>
      </c>
      <c r="D113" s="23">
        <f t="shared" si="102"/>
        <v>13998</v>
      </c>
      <c r="E113" s="23"/>
      <c r="F113" s="23"/>
      <c r="G113" s="23">
        <f t="shared" si="104"/>
        <v>0</v>
      </c>
      <c r="H113" s="23"/>
      <c r="I113" s="23"/>
      <c r="J113" s="23">
        <f t="shared" si="105"/>
        <v>0</v>
      </c>
      <c r="K113" s="23"/>
      <c r="L113" s="23">
        <v>13998</v>
      </c>
      <c r="M113" s="23">
        <f t="shared" si="106"/>
        <v>13998</v>
      </c>
      <c r="N113" s="23"/>
      <c r="O113" s="23"/>
      <c r="P113" s="23">
        <f t="shared" si="107"/>
        <v>0</v>
      </c>
      <c r="Q113" s="23"/>
      <c r="R113" s="23"/>
      <c r="S113" s="23">
        <f t="shared" si="108"/>
        <v>0</v>
      </c>
      <c r="T113" s="23"/>
      <c r="U113" s="23"/>
      <c r="V113" s="23">
        <f t="shared" si="109"/>
        <v>0</v>
      </c>
      <c r="W113" s="23"/>
      <c r="X113" s="23"/>
      <c r="Y113" s="23">
        <f t="shared" si="110"/>
        <v>0</v>
      </c>
      <c r="Z113" s="23"/>
      <c r="AA113" s="23"/>
      <c r="AB113" s="23">
        <f t="shared" si="111"/>
        <v>0</v>
      </c>
    </row>
    <row r="114" spans="1:189" s="17" customFormat="1" x14ac:dyDescent="0.25">
      <c r="A114" s="30" t="s">
        <v>77</v>
      </c>
      <c r="B114" s="23">
        <f t="shared" si="103"/>
        <v>0</v>
      </c>
      <c r="C114" s="23">
        <f t="shared" si="102"/>
        <v>15999</v>
      </c>
      <c r="D114" s="23">
        <f t="shared" si="102"/>
        <v>15999</v>
      </c>
      <c r="E114" s="23"/>
      <c r="F114" s="23"/>
      <c r="G114" s="23">
        <f t="shared" si="104"/>
        <v>0</v>
      </c>
      <c r="H114" s="23"/>
      <c r="I114" s="23"/>
      <c r="J114" s="23">
        <f t="shared" si="105"/>
        <v>0</v>
      </c>
      <c r="K114" s="23"/>
      <c r="L114" s="23">
        <v>15999</v>
      </c>
      <c r="M114" s="23">
        <f t="shared" si="106"/>
        <v>15999</v>
      </c>
      <c r="N114" s="23"/>
      <c r="O114" s="23"/>
      <c r="P114" s="23">
        <f t="shared" si="107"/>
        <v>0</v>
      </c>
      <c r="Q114" s="23"/>
      <c r="R114" s="23"/>
      <c r="S114" s="23">
        <f t="shared" si="108"/>
        <v>0</v>
      </c>
      <c r="T114" s="23"/>
      <c r="U114" s="23"/>
      <c r="V114" s="23">
        <f t="shared" si="109"/>
        <v>0</v>
      </c>
      <c r="W114" s="23"/>
      <c r="X114" s="23"/>
      <c r="Y114" s="23">
        <f t="shared" si="110"/>
        <v>0</v>
      </c>
      <c r="Z114" s="23"/>
      <c r="AA114" s="23"/>
      <c r="AB114" s="23">
        <f t="shared" si="111"/>
        <v>0</v>
      </c>
    </row>
    <row r="115" spans="1:189" s="17" customFormat="1" x14ac:dyDescent="0.25">
      <c r="A115" s="30" t="s">
        <v>78</v>
      </c>
      <c r="B115" s="23">
        <f t="shared" si="103"/>
        <v>0</v>
      </c>
      <c r="C115" s="23">
        <f t="shared" si="102"/>
        <v>10998</v>
      </c>
      <c r="D115" s="23">
        <f t="shared" si="102"/>
        <v>10998</v>
      </c>
      <c r="E115" s="23"/>
      <c r="F115" s="23"/>
      <c r="G115" s="23">
        <f t="shared" si="104"/>
        <v>0</v>
      </c>
      <c r="H115" s="23"/>
      <c r="I115" s="23"/>
      <c r="J115" s="23">
        <f t="shared" si="105"/>
        <v>0</v>
      </c>
      <c r="K115" s="23"/>
      <c r="L115" s="23">
        <v>10998</v>
      </c>
      <c r="M115" s="23">
        <f t="shared" si="106"/>
        <v>10998</v>
      </c>
      <c r="N115" s="23"/>
      <c r="O115" s="23"/>
      <c r="P115" s="23">
        <f t="shared" si="107"/>
        <v>0</v>
      </c>
      <c r="Q115" s="23"/>
      <c r="R115" s="23"/>
      <c r="S115" s="23">
        <f t="shared" si="108"/>
        <v>0</v>
      </c>
      <c r="T115" s="23"/>
      <c r="U115" s="23"/>
      <c r="V115" s="23">
        <f t="shared" si="109"/>
        <v>0</v>
      </c>
      <c r="W115" s="23"/>
      <c r="X115" s="23"/>
      <c r="Y115" s="23">
        <f t="shared" si="110"/>
        <v>0</v>
      </c>
      <c r="Z115" s="23"/>
      <c r="AA115" s="23"/>
      <c r="AB115" s="23">
        <f t="shared" si="111"/>
        <v>0</v>
      </c>
    </row>
    <row r="116" spans="1:189" s="17" customFormat="1" x14ac:dyDescent="0.25">
      <c r="A116" s="30" t="s">
        <v>79</v>
      </c>
      <c r="B116" s="23">
        <f t="shared" si="103"/>
        <v>0</v>
      </c>
      <c r="C116" s="23">
        <f t="shared" si="102"/>
        <v>13998</v>
      </c>
      <c r="D116" s="23">
        <f t="shared" si="102"/>
        <v>13998</v>
      </c>
      <c r="E116" s="23"/>
      <c r="F116" s="23"/>
      <c r="G116" s="23">
        <f t="shared" si="104"/>
        <v>0</v>
      </c>
      <c r="H116" s="23"/>
      <c r="I116" s="23"/>
      <c r="J116" s="23">
        <f t="shared" si="105"/>
        <v>0</v>
      </c>
      <c r="K116" s="23"/>
      <c r="L116" s="23">
        <v>13998</v>
      </c>
      <c r="M116" s="23">
        <f t="shared" si="106"/>
        <v>13998</v>
      </c>
      <c r="N116" s="23"/>
      <c r="O116" s="23"/>
      <c r="P116" s="23">
        <f t="shared" si="107"/>
        <v>0</v>
      </c>
      <c r="Q116" s="23"/>
      <c r="R116" s="23"/>
      <c r="S116" s="23">
        <f t="shared" si="108"/>
        <v>0</v>
      </c>
      <c r="T116" s="23"/>
      <c r="U116" s="23"/>
      <c r="V116" s="23">
        <f t="shared" si="109"/>
        <v>0</v>
      </c>
      <c r="W116" s="23"/>
      <c r="X116" s="23"/>
      <c r="Y116" s="23">
        <f t="shared" si="110"/>
        <v>0</v>
      </c>
      <c r="Z116" s="23"/>
      <c r="AA116" s="23"/>
      <c r="AB116" s="23">
        <f t="shared" si="111"/>
        <v>0</v>
      </c>
    </row>
    <row r="117" spans="1:189" s="17" customFormat="1" x14ac:dyDescent="0.25">
      <c r="A117" s="30" t="s">
        <v>80</v>
      </c>
      <c r="B117" s="23">
        <f t="shared" si="103"/>
        <v>0</v>
      </c>
      <c r="C117" s="23">
        <f t="shared" si="102"/>
        <v>10998</v>
      </c>
      <c r="D117" s="23">
        <f t="shared" si="102"/>
        <v>10998</v>
      </c>
      <c r="E117" s="23"/>
      <c r="F117" s="23"/>
      <c r="G117" s="23">
        <f t="shared" si="104"/>
        <v>0</v>
      </c>
      <c r="H117" s="23"/>
      <c r="I117" s="23"/>
      <c r="J117" s="23">
        <f t="shared" si="105"/>
        <v>0</v>
      </c>
      <c r="K117" s="23"/>
      <c r="L117" s="23">
        <v>10998</v>
      </c>
      <c r="M117" s="23">
        <f t="shared" si="106"/>
        <v>10998</v>
      </c>
      <c r="N117" s="23"/>
      <c r="O117" s="23"/>
      <c r="P117" s="23">
        <f t="shared" si="107"/>
        <v>0</v>
      </c>
      <c r="Q117" s="23"/>
      <c r="R117" s="23"/>
      <c r="S117" s="23">
        <f t="shared" si="108"/>
        <v>0</v>
      </c>
      <c r="T117" s="23"/>
      <c r="U117" s="23"/>
      <c r="V117" s="23">
        <f t="shared" si="109"/>
        <v>0</v>
      </c>
      <c r="W117" s="23"/>
      <c r="X117" s="23"/>
      <c r="Y117" s="23">
        <f t="shared" si="110"/>
        <v>0</v>
      </c>
      <c r="Z117" s="23"/>
      <c r="AA117" s="23"/>
      <c r="AB117" s="23">
        <f t="shared" si="111"/>
        <v>0</v>
      </c>
    </row>
    <row r="118" spans="1:189" s="17" customFormat="1" x14ac:dyDescent="0.25">
      <c r="A118" s="30" t="s">
        <v>241</v>
      </c>
      <c r="B118" s="23">
        <f t="shared" si="103"/>
        <v>0</v>
      </c>
      <c r="C118" s="23">
        <f t="shared" si="102"/>
        <v>10998</v>
      </c>
      <c r="D118" s="23">
        <f t="shared" si="102"/>
        <v>10998</v>
      </c>
      <c r="E118" s="23"/>
      <c r="F118" s="23"/>
      <c r="G118" s="23">
        <f t="shared" si="104"/>
        <v>0</v>
      </c>
      <c r="H118" s="23"/>
      <c r="I118" s="23"/>
      <c r="J118" s="23">
        <f t="shared" si="105"/>
        <v>0</v>
      </c>
      <c r="K118" s="23"/>
      <c r="L118" s="23">
        <v>10998</v>
      </c>
      <c r="M118" s="23">
        <f t="shared" si="106"/>
        <v>10998</v>
      </c>
      <c r="N118" s="23"/>
      <c r="O118" s="23"/>
      <c r="P118" s="23">
        <f t="shared" si="107"/>
        <v>0</v>
      </c>
      <c r="Q118" s="23"/>
      <c r="R118" s="23"/>
      <c r="S118" s="23">
        <f t="shared" si="108"/>
        <v>0</v>
      </c>
      <c r="T118" s="23"/>
      <c r="U118" s="23"/>
      <c r="V118" s="23">
        <f t="shared" si="109"/>
        <v>0</v>
      </c>
      <c r="W118" s="23"/>
      <c r="X118" s="23"/>
      <c r="Y118" s="23">
        <f t="shared" si="110"/>
        <v>0</v>
      </c>
      <c r="Z118" s="23"/>
      <c r="AA118" s="23"/>
      <c r="AB118" s="23">
        <f t="shared" si="111"/>
        <v>0</v>
      </c>
    </row>
    <row r="119" spans="1:189" s="17" customFormat="1" x14ac:dyDescent="0.25">
      <c r="A119" s="30" t="s">
        <v>82</v>
      </c>
      <c r="B119" s="23">
        <f t="shared" si="103"/>
        <v>0</v>
      </c>
      <c r="C119" s="23">
        <f t="shared" si="102"/>
        <v>4000</v>
      </c>
      <c r="D119" s="23">
        <f t="shared" si="102"/>
        <v>4000</v>
      </c>
      <c r="E119" s="23"/>
      <c r="F119" s="23"/>
      <c r="G119" s="23">
        <f t="shared" si="104"/>
        <v>0</v>
      </c>
      <c r="H119" s="23"/>
      <c r="I119" s="23"/>
      <c r="J119" s="23">
        <f t="shared" si="105"/>
        <v>0</v>
      </c>
      <c r="K119" s="23"/>
      <c r="L119" s="23">
        <v>4000</v>
      </c>
      <c r="M119" s="23">
        <f t="shared" si="106"/>
        <v>4000</v>
      </c>
      <c r="N119" s="23"/>
      <c r="O119" s="23"/>
      <c r="P119" s="23">
        <f t="shared" si="107"/>
        <v>0</v>
      </c>
      <c r="Q119" s="23"/>
      <c r="R119" s="23"/>
      <c r="S119" s="23">
        <f t="shared" si="108"/>
        <v>0</v>
      </c>
      <c r="T119" s="23"/>
      <c r="U119" s="23"/>
      <c r="V119" s="23">
        <f t="shared" si="109"/>
        <v>0</v>
      </c>
      <c r="W119" s="23"/>
      <c r="X119" s="23"/>
      <c r="Y119" s="23">
        <f t="shared" si="110"/>
        <v>0</v>
      </c>
      <c r="Z119" s="23"/>
      <c r="AA119" s="23"/>
      <c r="AB119" s="23">
        <f t="shared" si="111"/>
        <v>0</v>
      </c>
    </row>
    <row r="120" spans="1:189" s="17" customFormat="1" x14ac:dyDescent="0.25">
      <c r="A120" s="30" t="s">
        <v>83</v>
      </c>
      <c r="B120" s="23">
        <f t="shared" si="103"/>
        <v>0</v>
      </c>
      <c r="C120" s="23">
        <f t="shared" si="102"/>
        <v>9000</v>
      </c>
      <c r="D120" s="23">
        <f t="shared" si="102"/>
        <v>9000</v>
      </c>
      <c r="E120" s="23"/>
      <c r="F120" s="23"/>
      <c r="G120" s="23">
        <f t="shared" si="104"/>
        <v>0</v>
      </c>
      <c r="H120" s="23"/>
      <c r="I120" s="23"/>
      <c r="J120" s="23">
        <f t="shared" si="105"/>
        <v>0</v>
      </c>
      <c r="K120" s="23"/>
      <c r="L120" s="23">
        <v>9000</v>
      </c>
      <c r="M120" s="23">
        <f t="shared" si="106"/>
        <v>9000</v>
      </c>
      <c r="N120" s="23"/>
      <c r="O120" s="23"/>
      <c r="P120" s="23">
        <f t="shared" si="107"/>
        <v>0</v>
      </c>
      <c r="Q120" s="23"/>
      <c r="R120" s="23"/>
      <c r="S120" s="23">
        <f t="shared" si="108"/>
        <v>0</v>
      </c>
      <c r="T120" s="23"/>
      <c r="U120" s="23"/>
      <c r="V120" s="23">
        <f t="shared" si="109"/>
        <v>0</v>
      </c>
      <c r="W120" s="23"/>
      <c r="X120" s="23"/>
      <c r="Y120" s="23">
        <f t="shared" si="110"/>
        <v>0</v>
      </c>
      <c r="Z120" s="23"/>
      <c r="AA120" s="23"/>
      <c r="AB120" s="23">
        <f t="shared" si="111"/>
        <v>0</v>
      </c>
    </row>
    <row r="121" spans="1:189" s="17" customFormat="1" x14ac:dyDescent="0.25">
      <c r="A121" s="30" t="s">
        <v>84</v>
      </c>
      <c r="B121" s="23">
        <f t="shared" si="103"/>
        <v>0</v>
      </c>
      <c r="C121" s="23">
        <f t="shared" si="102"/>
        <v>10998</v>
      </c>
      <c r="D121" s="23">
        <f t="shared" si="102"/>
        <v>10998</v>
      </c>
      <c r="E121" s="23"/>
      <c r="F121" s="23"/>
      <c r="G121" s="23">
        <f t="shared" si="104"/>
        <v>0</v>
      </c>
      <c r="H121" s="23"/>
      <c r="I121" s="23"/>
      <c r="J121" s="23">
        <f t="shared" si="105"/>
        <v>0</v>
      </c>
      <c r="K121" s="23"/>
      <c r="L121" s="23">
        <v>10998</v>
      </c>
      <c r="M121" s="23">
        <f t="shared" si="106"/>
        <v>10998</v>
      </c>
      <c r="N121" s="23"/>
      <c r="O121" s="23"/>
      <c r="P121" s="23">
        <f t="shared" si="107"/>
        <v>0</v>
      </c>
      <c r="Q121" s="23"/>
      <c r="R121" s="23"/>
      <c r="S121" s="23">
        <f t="shared" si="108"/>
        <v>0</v>
      </c>
      <c r="T121" s="23"/>
      <c r="U121" s="23"/>
      <c r="V121" s="23">
        <f t="shared" si="109"/>
        <v>0</v>
      </c>
      <c r="W121" s="23"/>
      <c r="X121" s="23"/>
      <c r="Y121" s="23">
        <f t="shared" si="110"/>
        <v>0</v>
      </c>
      <c r="Z121" s="23"/>
      <c r="AA121" s="23"/>
      <c r="AB121" s="23">
        <f t="shared" si="111"/>
        <v>0</v>
      </c>
    </row>
    <row r="122" spans="1:189" s="17" customFormat="1" x14ac:dyDescent="0.25">
      <c r="A122" s="30" t="s">
        <v>85</v>
      </c>
      <c r="B122" s="23">
        <f t="shared" si="103"/>
        <v>0</v>
      </c>
      <c r="C122" s="23">
        <f t="shared" ref="C122:C125" si="112">F122+I122+L122+O122+R122+U122+AA122</f>
        <v>17000</v>
      </c>
      <c r="D122" s="23">
        <f t="shared" ref="D122:D125" si="113">G122+J122+M122+P122+S122+V122+AB122</f>
        <v>17000</v>
      </c>
      <c r="E122" s="23"/>
      <c r="F122" s="23"/>
      <c r="G122" s="23">
        <f t="shared" si="104"/>
        <v>0</v>
      </c>
      <c r="H122" s="23"/>
      <c r="I122" s="23"/>
      <c r="J122" s="23">
        <f t="shared" si="105"/>
        <v>0</v>
      </c>
      <c r="K122" s="23"/>
      <c r="L122" s="23">
        <v>17000</v>
      </c>
      <c r="M122" s="23">
        <f t="shared" si="106"/>
        <v>17000</v>
      </c>
      <c r="N122" s="23"/>
      <c r="O122" s="23"/>
      <c r="P122" s="23">
        <f t="shared" si="107"/>
        <v>0</v>
      </c>
      <c r="Q122" s="23"/>
      <c r="R122" s="23"/>
      <c r="S122" s="23">
        <f t="shared" si="108"/>
        <v>0</v>
      </c>
      <c r="T122" s="23"/>
      <c r="U122" s="23"/>
      <c r="V122" s="23">
        <f t="shared" si="109"/>
        <v>0</v>
      </c>
      <c r="W122" s="23"/>
      <c r="X122" s="23"/>
      <c r="Y122" s="23">
        <f t="shared" si="110"/>
        <v>0</v>
      </c>
      <c r="Z122" s="23"/>
      <c r="AA122" s="23"/>
      <c r="AB122" s="23">
        <f t="shared" si="111"/>
        <v>0</v>
      </c>
    </row>
    <row r="123" spans="1:189" s="17" customFormat="1" x14ac:dyDescent="0.25">
      <c r="A123" s="30" t="s">
        <v>242</v>
      </c>
      <c r="B123" s="23">
        <f t="shared" si="103"/>
        <v>0</v>
      </c>
      <c r="C123" s="23">
        <f t="shared" si="112"/>
        <v>16999</v>
      </c>
      <c r="D123" s="23">
        <f t="shared" si="113"/>
        <v>16999</v>
      </c>
      <c r="E123" s="23"/>
      <c r="F123" s="23"/>
      <c r="G123" s="23">
        <f t="shared" si="104"/>
        <v>0</v>
      </c>
      <c r="H123" s="23"/>
      <c r="I123" s="23"/>
      <c r="J123" s="23">
        <f t="shared" si="105"/>
        <v>0</v>
      </c>
      <c r="K123" s="23"/>
      <c r="L123" s="23">
        <v>16999</v>
      </c>
      <c r="M123" s="23">
        <f t="shared" si="106"/>
        <v>16999</v>
      </c>
      <c r="N123" s="23"/>
      <c r="O123" s="23"/>
      <c r="P123" s="23">
        <f t="shared" si="107"/>
        <v>0</v>
      </c>
      <c r="Q123" s="23"/>
      <c r="R123" s="23"/>
      <c r="S123" s="23">
        <f t="shared" si="108"/>
        <v>0</v>
      </c>
      <c r="T123" s="23"/>
      <c r="U123" s="23"/>
      <c r="V123" s="23">
        <f t="shared" si="109"/>
        <v>0</v>
      </c>
      <c r="W123" s="23"/>
      <c r="X123" s="23"/>
      <c r="Y123" s="23">
        <f t="shared" si="110"/>
        <v>0</v>
      </c>
      <c r="Z123" s="23"/>
      <c r="AA123" s="23"/>
      <c r="AB123" s="23">
        <f t="shared" si="111"/>
        <v>0</v>
      </c>
    </row>
    <row r="124" spans="1:189" s="17" customFormat="1" x14ac:dyDescent="0.25">
      <c r="A124" s="30" t="s">
        <v>87</v>
      </c>
      <c r="B124" s="23">
        <f t="shared" si="103"/>
        <v>0</v>
      </c>
      <c r="C124" s="23">
        <f t="shared" si="112"/>
        <v>17000</v>
      </c>
      <c r="D124" s="23">
        <f t="shared" si="113"/>
        <v>17000</v>
      </c>
      <c r="E124" s="23"/>
      <c r="F124" s="23"/>
      <c r="G124" s="23">
        <f t="shared" si="104"/>
        <v>0</v>
      </c>
      <c r="H124" s="23"/>
      <c r="I124" s="23"/>
      <c r="J124" s="23">
        <f t="shared" si="105"/>
        <v>0</v>
      </c>
      <c r="K124" s="23"/>
      <c r="L124" s="23">
        <v>17000</v>
      </c>
      <c r="M124" s="23">
        <f t="shared" si="106"/>
        <v>17000</v>
      </c>
      <c r="N124" s="23"/>
      <c r="O124" s="23"/>
      <c r="P124" s="23">
        <f t="shared" si="107"/>
        <v>0</v>
      </c>
      <c r="Q124" s="23"/>
      <c r="R124" s="23"/>
      <c r="S124" s="23">
        <f t="shared" si="108"/>
        <v>0</v>
      </c>
      <c r="T124" s="23"/>
      <c r="U124" s="23"/>
      <c r="V124" s="23">
        <f t="shared" si="109"/>
        <v>0</v>
      </c>
      <c r="W124" s="23"/>
      <c r="X124" s="23"/>
      <c r="Y124" s="23">
        <f t="shared" si="110"/>
        <v>0</v>
      </c>
      <c r="Z124" s="23"/>
      <c r="AA124" s="23"/>
      <c r="AB124" s="23">
        <f t="shared" si="111"/>
        <v>0</v>
      </c>
    </row>
    <row r="125" spans="1:189" s="17" customFormat="1" x14ac:dyDescent="0.25">
      <c r="A125" s="30" t="s">
        <v>243</v>
      </c>
      <c r="B125" s="23">
        <f t="shared" si="103"/>
        <v>0</v>
      </c>
      <c r="C125" s="23">
        <f t="shared" si="112"/>
        <v>16999</v>
      </c>
      <c r="D125" s="23">
        <f t="shared" si="113"/>
        <v>16999</v>
      </c>
      <c r="E125" s="23"/>
      <c r="F125" s="23"/>
      <c r="G125" s="23">
        <f t="shared" si="104"/>
        <v>0</v>
      </c>
      <c r="H125" s="23"/>
      <c r="I125" s="23"/>
      <c r="J125" s="23">
        <f t="shared" si="105"/>
        <v>0</v>
      </c>
      <c r="K125" s="23"/>
      <c r="L125" s="23">
        <v>16999</v>
      </c>
      <c r="M125" s="23">
        <f t="shared" si="106"/>
        <v>16999</v>
      </c>
      <c r="N125" s="23"/>
      <c r="O125" s="23"/>
      <c r="P125" s="23">
        <f t="shared" si="107"/>
        <v>0</v>
      </c>
      <c r="Q125" s="23"/>
      <c r="R125" s="23"/>
      <c r="S125" s="23">
        <f t="shared" si="108"/>
        <v>0</v>
      </c>
      <c r="T125" s="23"/>
      <c r="U125" s="23"/>
      <c r="V125" s="23">
        <f t="shared" si="109"/>
        <v>0</v>
      </c>
      <c r="W125" s="23"/>
      <c r="X125" s="23"/>
      <c r="Y125" s="23">
        <f t="shared" si="110"/>
        <v>0</v>
      </c>
      <c r="Z125" s="23"/>
      <c r="AA125" s="23"/>
      <c r="AB125" s="23">
        <f t="shared" si="111"/>
        <v>0</v>
      </c>
    </row>
    <row r="126" spans="1:189" s="17" customFormat="1" ht="63" x14ac:dyDescent="0.25">
      <c r="A126" s="30" t="s">
        <v>251</v>
      </c>
      <c r="B126" s="23">
        <f>E126+H126+K126+N126+Q126+T126+Z126</f>
        <v>0</v>
      </c>
      <c r="C126" s="23">
        <f>F126+I126+L126+O126+R126+U126+AA126</f>
        <v>29264</v>
      </c>
      <c r="D126" s="23">
        <f>G126+J126+M126+P126+S126+V126+AB126</f>
        <v>29264</v>
      </c>
      <c r="E126" s="23"/>
      <c r="F126" s="23"/>
      <c r="G126" s="23">
        <f>F126-E126</f>
        <v>0</v>
      </c>
      <c r="H126" s="23"/>
      <c r="I126" s="23"/>
      <c r="J126" s="23">
        <f>I126-H126</f>
        <v>0</v>
      </c>
      <c r="K126" s="23"/>
      <c r="L126" s="23">
        <v>29264</v>
      </c>
      <c r="M126" s="23">
        <f>L126-K126</f>
        <v>29264</v>
      </c>
      <c r="N126" s="23"/>
      <c r="O126" s="23"/>
      <c r="P126" s="23">
        <f>O126-N126</f>
        <v>0</v>
      </c>
      <c r="Q126" s="23"/>
      <c r="R126" s="23"/>
      <c r="S126" s="23">
        <f>R126-Q126</f>
        <v>0</v>
      </c>
      <c r="T126" s="23"/>
      <c r="U126" s="23"/>
      <c r="V126" s="23">
        <f>U126-T126</f>
        <v>0</v>
      </c>
      <c r="W126" s="23"/>
      <c r="X126" s="23"/>
      <c r="Y126" s="23">
        <f>X126-W126</f>
        <v>0</v>
      </c>
      <c r="Z126" s="23"/>
      <c r="AA126" s="23"/>
      <c r="AB126" s="23">
        <f>AA126-Z126</f>
        <v>0</v>
      </c>
    </row>
    <row r="127" spans="1:189" s="14" customFormat="1" ht="31.5" x14ac:dyDescent="0.25">
      <c r="A127" s="15" t="s">
        <v>89</v>
      </c>
      <c r="B127" s="16">
        <f t="shared" si="92"/>
        <v>2040230</v>
      </c>
      <c r="C127" s="16">
        <f t="shared" si="102"/>
        <v>2104791</v>
      </c>
      <c r="D127" s="16">
        <f t="shared" si="102"/>
        <v>64561</v>
      </c>
      <c r="E127" s="16">
        <f t="shared" ref="E127:AA127" si="114">SUM(E128)</f>
        <v>174000</v>
      </c>
      <c r="F127" s="16">
        <f t="shared" si="114"/>
        <v>174000</v>
      </c>
      <c r="G127" s="16">
        <f t="shared" si="94"/>
        <v>0</v>
      </c>
      <c r="H127" s="16">
        <f t="shared" si="114"/>
        <v>0</v>
      </c>
      <c r="I127" s="16">
        <f t="shared" si="114"/>
        <v>0</v>
      </c>
      <c r="J127" s="16">
        <f t="shared" si="95"/>
        <v>0</v>
      </c>
      <c r="K127" s="16">
        <f t="shared" si="114"/>
        <v>21330</v>
      </c>
      <c r="L127" s="16">
        <f t="shared" si="114"/>
        <v>85891</v>
      </c>
      <c r="M127" s="16">
        <f t="shared" si="96"/>
        <v>64561</v>
      </c>
      <c r="N127" s="16">
        <f t="shared" si="114"/>
        <v>1841264</v>
      </c>
      <c r="O127" s="16">
        <f t="shared" si="114"/>
        <v>1841264</v>
      </c>
      <c r="P127" s="16">
        <f t="shared" si="97"/>
        <v>0</v>
      </c>
      <c r="Q127" s="16">
        <f t="shared" si="114"/>
        <v>0</v>
      </c>
      <c r="R127" s="16">
        <f t="shared" si="114"/>
        <v>0</v>
      </c>
      <c r="S127" s="16">
        <f t="shared" si="98"/>
        <v>0</v>
      </c>
      <c r="T127" s="16">
        <f t="shared" si="114"/>
        <v>3636</v>
      </c>
      <c r="U127" s="16">
        <f t="shared" si="114"/>
        <v>3636</v>
      </c>
      <c r="V127" s="16">
        <f t="shared" si="99"/>
        <v>0</v>
      </c>
      <c r="W127" s="16">
        <f t="shared" si="114"/>
        <v>0</v>
      </c>
      <c r="X127" s="16">
        <f t="shared" si="114"/>
        <v>0</v>
      </c>
      <c r="Y127" s="16">
        <f t="shared" si="100"/>
        <v>0</v>
      </c>
      <c r="Z127" s="16">
        <f t="shared" si="114"/>
        <v>0</v>
      </c>
      <c r="AA127" s="16">
        <f t="shared" si="114"/>
        <v>0</v>
      </c>
      <c r="AB127" s="16">
        <f t="shared" si="101"/>
        <v>0</v>
      </c>
    </row>
    <row r="128" spans="1:189" s="17" customFormat="1" x14ac:dyDescent="0.25">
      <c r="A128" s="15" t="s">
        <v>13</v>
      </c>
      <c r="B128" s="16">
        <f t="shared" si="92"/>
        <v>2040230</v>
      </c>
      <c r="C128" s="16">
        <f t="shared" si="102"/>
        <v>2104791</v>
      </c>
      <c r="D128" s="16">
        <f t="shared" si="102"/>
        <v>64561</v>
      </c>
      <c r="E128" s="16">
        <f t="shared" ref="E128:Z128" si="115">SUM(E129:E141)</f>
        <v>174000</v>
      </c>
      <c r="F128" s="16">
        <f t="shared" ref="F128" si="116">SUM(F129:F141)</f>
        <v>174000</v>
      </c>
      <c r="G128" s="16">
        <f t="shared" si="94"/>
        <v>0</v>
      </c>
      <c r="H128" s="16">
        <f t="shared" si="115"/>
        <v>0</v>
      </c>
      <c r="I128" s="16">
        <f t="shared" ref="I128" si="117">SUM(I129:I141)</f>
        <v>0</v>
      </c>
      <c r="J128" s="16">
        <f t="shared" si="95"/>
        <v>0</v>
      </c>
      <c r="K128" s="16">
        <f t="shared" si="115"/>
        <v>21330</v>
      </c>
      <c r="L128" s="16">
        <f t="shared" ref="L128" si="118">SUM(L129:L141)</f>
        <v>85891</v>
      </c>
      <c r="M128" s="16">
        <f t="shared" si="96"/>
        <v>64561</v>
      </c>
      <c r="N128" s="16">
        <f t="shared" si="115"/>
        <v>1841264</v>
      </c>
      <c r="O128" s="16">
        <f t="shared" ref="O128" si="119">SUM(O129:O141)</f>
        <v>1841264</v>
      </c>
      <c r="P128" s="16">
        <f t="shared" si="97"/>
        <v>0</v>
      </c>
      <c r="Q128" s="16">
        <f t="shared" si="115"/>
        <v>0</v>
      </c>
      <c r="R128" s="16">
        <f t="shared" ref="R128" si="120">SUM(R129:R141)</f>
        <v>0</v>
      </c>
      <c r="S128" s="16">
        <f t="shared" si="98"/>
        <v>0</v>
      </c>
      <c r="T128" s="16">
        <f t="shared" si="115"/>
        <v>3636</v>
      </c>
      <c r="U128" s="16">
        <f t="shared" ref="U128" si="121">SUM(U129:U141)</f>
        <v>3636</v>
      </c>
      <c r="V128" s="16">
        <f t="shared" si="99"/>
        <v>0</v>
      </c>
      <c r="W128" s="16">
        <f t="shared" ref="W128" si="122">SUM(W129:W141)</f>
        <v>0</v>
      </c>
      <c r="X128" s="16">
        <f t="shared" ref="X128" si="123">SUM(X129:X141)</f>
        <v>0</v>
      </c>
      <c r="Y128" s="16">
        <f t="shared" si="100"/>
        <v>0</v>
      </c>
      <c r="Z128" s="16">
        <f t="shared" si="115"/>
        <v>0</v>
      </c>
      <c r="AA128" s="16">
        <f t="shared" ref="AA128" si="124">SUM(AA129:AA141)</f>
        <v>0</v>
      </c>
      <c r="AB128" s="16">
        <f t="shared" si="101"/>
        <v>0</v>
      </c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</row>
    <row r="129" spans="1:189" s="17" customFormat="1" x14ac:dyDescent="0.25">
      <c r="A129" s="27" t="s">
        <v>90</v>
      </c>
      <c r="B129" s="23">
        <f t="shared" si="92"/>
        <v>57000</v>
      </c>
      <c r="C129" s="23">
        <f t="shared" si="102"/>
        <v>57000</v>
      </c>
      <c r="D129" s="23">
        <f t="shared" si="102"/>
        <v>0</v>
      </c>
      <c r="E129" s="23">
        <v>57000</v>
      </c>
      <c r="F129" s="23">
        <v>57000</v>
      </c>
      <c r="G129" s="23">
        <f t="shared" si="94"/>
        <v>0</v>
      </c>
      <c r="H129" s="23"/>
      <c r="I129" s="23"/>
      <c r="J129" s="23">
        <f t="shared" si="95"/>
        <v>0</v>
      </c>
      <c r="K129" s="23"/>
      <c r="L129" s="23"/>
      <c r="M129" s="23">
        <f t="shared" si="96"/>
        <v>0</v>
      </c>
      <c r="N129" s="23"/>
      <c r="O129" s="23"/>
      <c r="P129" s="23">
        <f t="shared" si="97"/>
        <v>0</v>
      </c>
      <c r="Q129" s="23"/>
      <c r="R129" s="23"/>
      <c r="S129" s="23">
        <f t="shared" si="98"/>
        <v>0</v>
      </c>
      <c r="T129" s="23"/>
      <c r="U129" s="23"/>
      <c r="V129" s="23">
        <f t="shared" si="99"/>
        <v>0</v>
      </c>
      <c r="W129" s="23"/>
      <c r="X129" s="23"/>
      <c r="Y129" s="23">
        <f t="shared" si="100"/>
        <v>0</v>
      </c>
      <c r="Z129" s="23"/>
      <c r="AA129" s="23"/>
      <c r="AB129" s="23">
        <f t="shared" si="101"/>
        <v>0</v>
      </c>
    </row>
    <row r="130" spans="1:189" s="17" customFormat="1" ht="31.5" x14ac:dyDescent="0.25">
      <c r="A130" s="30" t="s">
        <v>244</v>
      </c>
      <c r="B130" s="23">
        <f t="shared" si="92"/>
        <v>0</v>
      </c>
      <c r="C130" s="23">
        <f t="shared" si="102"/>
        <v>15571</v>
      </c>
      <c r="D130" s="23">
        <f t="shared" si="102"/>
        <v>15571</v>
      </c>
      <c r="E130" s="23"/>
      <c r="F130" s="23"/>
      <c r="G130" s="23">
        <f t="shared" si="94"/>
        <v>0</v>
      </c>
      <c r="H130" s="23"/>
      <c r="I130" s="23"/>
      <c r="J130" s="23">
        <f t="shared" si="95"/>
        <v>0</v>
      </c>
      <c r="K130" s="23"/>
      <c r="L130" s="23">
        <v>15571</v>
      </c>
      <c r="M130" s="23">
        <f t="shared" si="96"/>
        <v>15571</v>
      </c>
      <c r="N130" s="23"/>
      <c r="O130" s="23"/>
      <c r="P130" s="23">
        <f t="shared" si="97"/>
        <v>0</v>
      </c>
      <c r="Q130" s="23"/>
      <c r="R130" s="23"/>
      <c r="S130" s="23">
        <f t="shared" si="98"/>
        <v>0</v>
      </c>
      <c r="T130" s="23"/>
      <c r="U130" s="23"/>
      <c r="V130" s="23">
        <f t="shared" si="99"/>
        <v>0</v>
      </c>
      <c r="W130" s="23"/>
      <c r="X130" s="23"/>
      <c r="Y130" s="23">
        <f t="shared" si="100"/>
        <v>0</v>
      </c>
      <c r="Z130" s="23"/>
      <c r="AA130" s="23"/>
      <c r="AB130" s="23">
        <f t="shared" si="101"/>
        <v>0</v>
      </c>
    </row>
    <row r="131" spans="1:189" s="17" customFormat="1" ht="31.5" x14ac:dyDescent="0.25">
      <c r="A131" s="30" t="s">
        <v>245</v>
      </c>
      <c r="B131" s="23">
        <f t="shared" si="92"/>
        <v>0</v>
      </c>
      <c r="C131" s="23">
        <f t="shared" si="102"/>
        <v>15993</v>
      </c>
      <c r="D131" s="23">
        <f t="shared" si="102"/>
        <v>15993</v>
      </c>
      <c r="E131" s="23"/>
      <c r="F131" s="23"/>
      <c r="G131" s="23">
        <f t="shared" si="94"/>
        <v>0</v>
      </c>
      <c r="H131" s="23"/>
      <c r="I131" s="23"/>
      <c r="J131" s="23">
        <f t="shared" si="95"/>
        <v>0</v>
      </c>
      <c r="K131" s="23"/>
      <c r="L131" s="23">
        <v>15993</v>
      </c>
      <c r="M131" s="23">
        <f t="shared" si="96"/>
        <v>15993</v>
      </c>
      <c r="N131" s="23"/>
      <c r="O131" s="23"/>
      <c r="P131" s="23">
        <f t="shared" si="97"/>
        <v>0</v>
      </c>
      <c r="Q131" s="23"/>
      <c r="R131" s="23"/>
      <c r="S131" s="23">
        <f t="shared" si="98"/>
        <v>0</v>
      </c>
      <c r="T131" s="23"/>
      <c r="U131" s="23"/>
      <c r="V131" s="23">
        <f t="shared" si="99"/>
        <v>0</v>
      </c>
      <c r="W131" s="23"/>
      <c r="X131" s="23"/>
      <c r="Y131" s="23">
        <f t="shared" si="100"/>
        <v>0</v>
      </c>
      <c r="Z131" s="23"/>
      <c r="AA131" s="23"/>
      <c r="AB131" s="23">
        <f t="shared" si="101"/>
        <v>0</v>
      </c>
    </row>
    <row r="132" spans="1:189" s="17" customFormat="1" ht="31.5" x14ac:dyDescent="0.25">
      <c r="A132" s="30" t="s">
        <v>246</v>
      </c>
      <c r="B132" s="23">
        <f t="shared" si="92"/>
        <v>0</v>
      </c>
      <c r="C132" s="23">
        <f t="shared" si="102"/>
        <v>12998</v>
      </c>
      <c r="D132" s="23">
        <f t="shared" si="102"/>
        <v>12998</v>
      </c>
      <c r="E132" s="23"/>
      <c r="F132" s="23"/>
      <c r="G132" s="23">
        <f t="shared" si="94"/>
        <v>0</v>
      </c>
      <c r="H132" s="23"/>
      <c r="I132" s="23"/>
      <c r="J132" s="23">
        <f t="shared" si="95"/>
        <v>0</v>
      </c>
      <c r="K132" s="23"/>
      <c r="L132" s="23">
        <v>12998</v>
      </c>
      <c r="M132" s="23">
        <f t="shared" si="96"/>
        <v>12998</v>
      </c>
      <c r="N132" s="23"/>
      <c r="O132" s="23"/>
      <c r="P132" s="23">
        <f t="shared" si="97"/>
        <v>0</v>
      </c>
      <c r="Q132" s="23"/>
      <c r="R132" s="23"/>
      <c r="S132" s="23">
        <f t="shared" si="98"/>
        <v>0</v>
      </c>
      <c r="T132" s="23"/>
      <c r="U132" s="23"/>
      <c r="V132" s="23">
        <f t="shared" si="99"/>
        <v>0</v>
      </c>
      <c r="W132" s="23"/>
      <c r="X132" s="23"/>
      <c r="Y132" s="23">
        <f t="shared" si="100"/>
        <v>0</v>
      </c>
      <c r="Z132" s="23"/>
      <c r="AA132" s="23"/>
      <c r="AB132" s="23">
        <f t="shared" si="101"/>
        <v>0</v>
      </c>
    </row>
    <row r="133" spans="1:189" s="17" customFormat="1" ht="31.5" x14ac:dyDescent="0.25">
      <c r="A133" s="30" t="s">
        <v>247</v>
      </c>
      <c r="B133" s="23">
        <f t="shared" ref="B133:B134" si="125">E133+H133+K133+N133+Q133+T133+Z133</f>
        <v>0</v>
      </c>
      <c r="C133" s="23">
        <f t="shared" ref="C133:C134" si="126">F133+I133+L133+O133+R133+U133+AA133</f>
        <v>12999</v>
      </c>
      <c r="D133" s="23">
        <f t="shared" ref="D133:D134" si="127">G133+J133+M133+P133+S133+V133+AB133</f>
        <v>12999</v>
      </c>
      <c r="E133" s="23"/>
      <c r="F133" s="23"/>
      <c r="G133" s="23">
        <f t="shared" ref="G133:G134" si="128">F133-E133</f>
        <v>0</v>
      </c>
      <c r="H133" s="23"/>
      <c r="I133" s="23"/>
      <c r="J133" s="23">
        <f t="shared" ref="J133:J134" si="129">I133-H133</f>
        <v>0</v>
      </c>
      <c r="K133" s="23"/>
      <c r="L133" s="23">
        <v>12999</v>
      </c>
      <c r="M133" s="23">
        <f t="shared" ref="M133:M134" si="130">L133-K133</f>
        <v>12999</v>
      </c>
      <c r="N133" s="23"/>
      <c r="O133" s="23"/>
      <c r="P133" s="23">
        <f t="shared" ref="P133:P134" si="131">O133-N133</f>
        <v>0</v>
      </c>
      <c r="Q133" s="23"/>
      <c r="R133" s="23"/>
      <c r="S133" s="23">
        <f t="shared" ref="S133:S134" si="132">R133-Q133</f>
        <v>0</v>
      </c>
      <c r="T133" s="23"/>
      <c r="U133" s="23"/>
      <c r="V133" s="23">
        <f t="shared" ref="V133:V134" si="133">U133-T133</f>
        <v>0</v>
      </c>
      <c r="W133" s="23"/>
      <c r="X133" s="23"/>
      <c r="Y133" s="23">
        <f t="shared" ref="Y133:Y134" si="134">X133-W133</f>
        <v>0</v>
      </c>
      <c r="Z133" s="23"/>
      <c r="AA133" s="23"/>
      <c r="AB133" s="23">
        <f t="shared" ref="AB133:AB134" si="135">AA133-Z133</f>
        <v>0</v>
      </c>
    </row>
    <row r="134" spans="1:189" s="17" customFormat="1" ht="31.5" x14ac:dyDescent="0.25">
      <c r="A134" s="30" t="s">
        <v>248</v>
      </c>
      <c r="B134" s="23">
        <f t="shared" si="125"/>
        <v>0</v>
      </c>
      <c r="C134" s="23">
        <f t="shared" si="126"/>
        <v>7000</v>
      </c>
      <c r="D134" s="23">
        <f t="shared" si="127"/>
        <v>7000</v>
      </c>
      <c r="E134" s="23"/>
      <c r="F134" s="23"/>
      <c r="G134" s="23">
        <f t="shared" si="128"/>
        <v>0</v>
      </c>
      <c r="H134" s="23"/>
      <c r="I134" s="23"/>
      <c r="J134" s="23">
        <f t="shared" si="129"/>
        <v>0</v>
      </c>
      <c r="K134" s="23"/>
      <c r="L134" s="23">
        <v>7000</v>
      </c>
      <c r="M134" s="23">
        <f t="shared" si="130"/>
        <v>7000</v>
      </c>
      <c r="N134" s="23"/>
      <c r="O134" s="23"/>
      <c r="P134" s="23">
        <f t="shared" si="131"/>
        <v>0</v>
      </c>
      <c r="Q134" s="23"/>
      <c r="R134" s="23"/>
      <c r="S134" s="23">
        <f t="shared" si="132"/>
        <v>0</v>
      </c>
      <c r="T134" s="23"/>
      <c r="U134" s="23"/>
      <c r="V134" s="23">
        <f t="shared" si="133"/>
        <v>0</v>
      </c>
      <c r="W134" s="23"/>
      <c r="X134" s="23"/>
      <c r="Y134" s="23">
        <f t="shared" si="134"/>
        <v>0</v>
      </c>
      <c r="Z134" s="23"/>
      <c r="AA134" s="23"/>
      <c r="AB134" s="23">
        <f t="shared" si="135"/>
        <v>0</v>
      </c>
    </row>
    <row r="135" spans="1:189" s="17" customFormat="1" ht="47.25" x14ac:dyDescent="0.25">
      <c r="A135" s="27" t="s">
        <v>91</v>
      </c>
      <c r="B135" s="23">
        <f t="shared" si="92"/>
        <v>117000</v>
      </c>
      <c r="C135" s="23">
        <f t="shared" si="102"/>
        <v>117000</v>
      </c>
      <c r="D135" s="23">
        <f t="shared" si="102"/>
        <v>0</v>
      </c>
      <c r="E135" s="23">
        <v>117000</v>
      </c>
      <c r="F135" s="23">
        <v>117000</v>
      </c>
      <c r="G135" s="23">
        <f t="shared" si="94"/>
        <v>0</v>
      </c>
      <c r="H135" s="23"/>
      <c r="I135" s="23"/>
      <c r="J135" s="23">
        <f t="shared" si="95"/>
        <v>0</v>
      </c>
      <c r="K135" s="23"/>
      <c r="L135" s="23"/>
      <c r="M135" s="23">
        <f t="shared" si="96"/>
        <v>0</v>
      </c>
      <c r="N135" s="23"/>
      <c r="O135" s="23"/>
      <c r="P135" s="23">
        <f t="shared" si="97"/>
        <v>0</v>
      </c>
      <c r="Q135" s="23"/>
      <c r="R135" s="23"/>
      <c r="S135" s="23">
        <f t="shared" si="98"/>
        <v>0</v>
      </c>
      <c r="T135" s="23"/>
      <c r="U135" s="23"/>
      <c r="V135" s="23">
        <f t="shared" si="99"/>
        <v>0</v>
      </c>
      <c r="W135" s="23"/>
      <c r="X135" s="23"/>
      <c r="Y135" s="23">
        <f t="shared" si="100"/>
        <v>0</v>
      </c>
      <c r="Z135" s="23"/>
      <c r="AA135" s="23"/>
      <c r="AB135" s="23">
        <f t="shared" si="101"/>
        <v>0</v>
      </c>
    </row>
    <row r="136" spans="1:189" s="17" customFormat="1" ht="31.5" x14ac:dyDescent="0.25">
      <c r="A136" s="27" t="s">
        <v>92</v>
      </c>
      <c r="B136" s="23">
        <f t="shared" si="92"/>
        <v>3636</v>
      </c>
      <c r="C136" s="23">
        <f t="shared" si="102"/>
        <v>3636</v>
      </c>
      <c r="D136" s="23">
        <f t="shared" si="102"/>
        <v>0</v>
      </c>
      <c r="E136" s="23"/>
      <c r="F136" s="23"/>
      <c r="G136" s="23">
        <f t="shared" si="94"/>
        <v>0</v>
      </c>
      <c r="H136" s="23"/>
      <c r="I136" s="23"/>
      <c r="J136" s="23">
        <f t="shared" si="95"/>
        <v>0</v>
      </c>
      <c r="K136" s="23">
        <f>60000-60000</f>
        <v>0</v>
      </c>
      <c r="L136" s="23">
        <f>60000-60000</f>
        <v>0</v>
      </c>
      <c r="M136" s="23">
        <f t="shared" si="96"/>
        <v>0</v>
      </c>
      <c r="N136" s="23"/>
      <c r="O136" s="23"/>
      <c r="P136" s="23">
        <f t="shared" si="97"/>
        <v>0</v>
      </c>
      <c r="Q136" s="23"/>
      <c r="R136" s="23"/>
      <c r="S136" s="23">
        <f t="shared" si="98"/>
        <v>0</v>
      </c>
      <c r="T136" s="23">
        <v>3636</v>
      </c>
      <c r="U136" s="23">
        <v>3636</v>
      </c>
      <c r="V136" s="23">
        <f t="shared" si="99"/>
        <v>0</v>
      </c>
      <c r="W136" s="23"/>
      <c r="X136" s="23"/>
      <c r="Y136" s="23">
        <f t="shared" si="100"/>
        <v>0</v>
      </c>
      <c r="Z136" s="23"/>
      <c r="AA136" s="23"/>
      <c r="AB136" s="23">
        <f t="shared" si="101"/>
        <v>0</v>
      </c>
    </row>
    <row r="137" spans="1:189" s="17" customFormat="1" ht="47.25" x14ac:dyDescent="0.25">
      <c r="A137" s="31" t="s">
        <v>93</v>
      </c>
      <c r="B137" s="23">
        <f t="shared" si="92"/>
        <v>3630</v>
      </c>
      <c r="C137" s="23">
        <f t="shared" si="102"/>
        <v>3630</v>
      </c>
      <c r="D137" s="23">
        <f t="shared" si="102"/>
        <v>0</v>
      </c>
      <c r="E137" s="23"/>
      <c r="F137" s="23"/>
      <c r="G137" s="23">
        <f t="shared" si="94"/>
        <v>0</v>
      </c>
      <c r="H137" s="23"/>
      <c r="I137" s="23"/>
      <c r="J137" s="23">
        <f t="shared" si="95"/>
        <v>0</v>
      </c>
      <c r="K137" s="23">
        <v>3630</v>
      </c>
      <c r="L137" s="23">
        <v>3630</v>
      </c>
      <c r="M137" s="23">
        <f t="shared" si="96"/>
        <v>0</v>
      </c>
      <c r="N137" s="23"/>
      <c r="O137" s="23"/>
      <c r="P137" s="23">
        <f t="shared" si="97"/>
        <v>0</v>
      </c>
      <c r="Q137" s="23"/>
      <c r="R137" s="23"/>
      <c r="S137" s="23">
        <f t="shared" si="98"/>
        <v>0</v>
      </c>
      <c r="T137" s="23"/>
      <c r="U137" s="23"/>
      <c r="V137" s="23">
        <f t="shared" si="99"/>
        <v>0</v>
      </c>
      <c r="W137" s="23"/>
      <c r="X137" s="23"/>
      <c r="Y137" s="23">
        <f t="shared" si="100"/>
        <v>0</v>
      </c>
      <c r="Z137" s="23"/>
      <c r="AA137" s="23"/>
      <c r="AB137" s="23">
        <f t="shared" si="101"/>
        <v>0</v>
      </c>
    </row>
    <row r="138" spans="1:189" s="17" customFormat="1" ht="78.75" x14ac:dyDescent="0.25">
      <c r="A138" s="31" t="s">
        <v>94</v>
      </c>
      <c r="B138" s="23">
        <f t="shared" si="92"/>
        <v>864178</v>
      </c>
      <c r="C138" s="23">
        <f t="shared" si="102"/>
        <v>864178</v>
      </c>
      <c r="D138" s="23">
        <f t="shared" si="102"/>
        <v>0</v>
      </c>
      <c r="E138" s="23"/>
      <c r="F138" s="23"/>
      <c r="G138" s="23">
        <f t="shared" si="94"/>
        <v>0</v>
      </c>
      <c r="H138" s="23"/>
      <c r="I138" s="23"/>
      <c r="J138" s="23">
        <f t="shared" si="95"/>
        <v>0</v>
      </c>
      <c r="K138" s="23"/>
      <c r="L138" s="23"/>
      <c r="M138" s="23">
        <f t="shared" si="96"/>
        <v>0</v>
      </c>
      <c r="N138" s="23">
        <v>864178</v>
      </c>
      <c r="O138" s="23">
        <v>864178</v>
      </c>
      <c r="P138" s="23">
        <f t="shared" si="97"/>
        <v>0</v>
      </c>
      <c r="Q138" s="23"/>
      <c r="R138" s="23"/>
      <c r="S138" s="23">
        <f t="shared" si="98"/>
        <v>0</v>
      </c>
      <c r="T138" s="23"/>
      <c r="U138" s="23"/>
      <c r="V138" s="23">
        <f t="shared" si="99"/>
        <v>0</v>
      </c>
      <c r="W138" s="23"/>
      <c r="X138" s="23"/>
      <c r="Y138" s="23">
        <f t="shared" si="100"/>
        <v>0</v>
      </c>
      <c r="Z138" s="23"/>
      <c r="AA138" s="23"/>
      <c r="AB138" s="23">
        <f t="shared" si="101"/>
        <v>0</v>
      </c>
    </row>
    <row r="139" spans="1:189" s="17" customFormat="1" ht="63" x14ac:dyDescent="0.25">
      <c r="A139" s="31" t="s">
        <v>95</v>
      </c>
      <c r="B139" s="23">
        <f t="shared" si="92"/>
        <v>138928</v>
      </c>
      <c r="C139" s="23">
        <f t="shared" si="102"/>
        <v>138928</v>
      </c>
      <c r="D139" s="23">
        <f t="shared" si="102"/>
        <v>0</v>
      </c>
      <c r="E139" s="23"/>
      <c r="F139" s="23"/>
      <c r="G139" s="23">
        <f t="shared" si="94"/>
        <v>0</v>
      </c>
      <c r="H139" s="23"/>
      <c r="I139" s="23"/>
      <c r="J139" s="23">
        <f t="shared" si="95"/>
        <v>0</v>
      </c>
      <c r="K139" s="23"/>
      <c r="L139" s="23"/>
      <c r="M139" s="23">
        <f t="shared" si="96"/>
        <v>0</v>
      </c>
      <c r="N139" s="23">
        <v>138928</v>
      </c>
      <c r="O139" s="23">
        <v>138928</v>
      </c>
      <c r="P139" s="23">
        <f t="shared" si="97"/>
        <v>0</v>
      </c>
      <c r="Q139" s="23"/>
      <c r="R139" s="23"/>
      <c r="S139" s="23">
        <f t="shared" si="98"/>
        <v>0</v>
      </c>
      <c r="T139" s="23"/>
      <c r="U139" s="23"/>
      <c r="V139" s="23">
        <f t="shared" si="99"/>
        <v>0</v>
      </c>
      <c r="W139" s="23"/>
      <c r="X139" s="23"/>
      <c r="Y139" s="23">
        <f t="shared" si="100"/>
        <v>0</v>
      </c>
      <c r="Z139" s="23"/>
      <c r="AA139" s="23"/>
      <c r="AB139" s="23">
        <f t="shared" si="101"/>
        <v>0</v>
      </c>
    </row>
    <row r="140" spans="1:189" s="17" customFormat="1" ht="47.25" x14ac:dyDescent="0.25">
      <c r="A140" s="31" t="s">
        <v>96</v>
      </c>
      <c r="B140" s="23">
        <f t="shared" si="92"/>
        <v>838158</v>
      </c>
      <c r="C140" s="23">
        <f t="shared" si="102"/>
        <v>838158</v>
      </c>
      <c r="D140" s="23">
        <f t="shared" si="102"/>
        <v>0</v>
      </c>
      <c r="E140" s="23"/>
      <c r="F140" s="23"/>
      <c r="G140" s="23">
        <f t="shared" si="94"/>
        <v>0</v>
      </c>
      <c r="H140" s="23"/>
      <c r="I140" s="23"/>
      <c r="J140" s="23">
        <f t="shared" si="95"/>
        <v>0</v>
      </c>
      <c r="K140" s="23"/>
      <c r="L140" s="23"/>
      <c r="M140" s="23">
        <f t="shared" si="96"/>
        <v>0</v>
      </c>
      <c r="N140" s="23">
        <v>838158</v>
      </c>
      <c r="O140" s="23">
        <v>838158</v>
      </c>
      <c r="P140" s="23">
        <f t="shared" si="97"/>
        <v>0</v>
      </c>
      <c r="Q140" s="23"/>
      <c r="R140" s="23"/>
      <c r="S140" s="23">
        <f t="shared" si="98"/>
        <v>0</v>
      </c>
      <c r="T140" s="23"/>
      <c r="U140" s="23"/>
      <c r="V140" s="23">
        <f t="shared" si="99"/>
        <v>0</v>
      </c>
      <c r="W140" s="23"/>
      <c r="X140" s="23"/>
      <c r="Y140" s="23">
        <f t="shared" si="100"/>
        <v>0</v>
      </c>
      <c r="Z140" s="23"/>
      <c r="AA140" s="23"/>
      <c r="AB140" s="23">
        <f t="shared" si="101"/>
        <v>0</v>
      </c>
    </row>
    <row r="141" spans="1:189" s="17" customFormat="1" ht="63" x14ac:dyDescent="0.25">
      <c r="A141" s="31" t="s">
        <v>97</v>
      </c>
      <c r="B141" s="23">
        <f t="shared" si="92"/>
        <v>17700</v>
      </c>
      <c r="C141" s="23">
        <f t="shared" si="102"/>
        <v>17700</v>
      </c>
      <c r="D141" s="23">
        <f t="shared" si="102"/>
        <v>0</v>
      </c>
      <c r="E141" s="23"/>
      <c r="F141" s="23"/>
      <c r="G141" s="23">
        <f t="shared" si="94"/>
        <v>0</v>
      </c>
      <c r="H141" s="23"/>
      <c r="I141" s="23"/>
      <c r="J141" s="23">
        <f t="shared" si="95"/>
        <v>0</v>
      </c>
      <c r="K141" s="23">
        <v>17700</v>
      </c>
      <c r="L141" s="23">
        <v>17700</v>
      </c>
      <c r="M141" s="23">
        <f t="shared" si="96"/>
        <v>0</v>
      </c>
      <c r="N141" s="23"/>
      <c r="O141" s="23"/>
      <c r="P141" s="23">
        <f t="shared" si="97"/>
        <v>0</v>
      </c>
      <c r="Q141" s="23"/>
      <c r="R141" s="23"/>
      <c r="S141" s="23">
        <f t="shared" si="98"/>
        <v>0</v>
      </c>
      <c r="T141" s="23"/>
      <c r="U141" s="23"/>
      <c r="V141" s="23">
        <f t="shared" si="99"/>
        <v>0</v>
      </c>
      <c r="W141" s="23"/>
      <c r="X141" s="23"/>
      <c r="Y141" s="23">
        <f t="shared" si="100"/>
        <v>0</v>
      </c>
      <c r="Z141" s="23"/>
      <c r="AA141" s="23"/>
      <c r="AB141" s="23">
        <f t="shared" si="101"/>
        <v>0</v>
      </c>
    </row>
    <row r="142" spans="1:189" s="17" customFormat="1" x14ac:dyDescent="0.25">
      <c r="A142" s="15" t="s">
        <v>98</v>
      </c>
      <c r="B142" s="16">
        <f t="shared" si="92"/>
        <v>2454873</v>
      </c>
      <c r="C142" s="16">
        <f t="shared" si="102"/>
        <v>2454873</v>
      </c>
      <c r="D142" s="16">
        <f t="shared" si="102"/>
        <v>0</v>
      </c>
      <c r="E142" s="16">
        <f t="shared" ref="E142:AA142" si="136">SUM(E143)</f>
        <v>46418</v>
      </c>
      <c r="F142" s="16">
        <f t="shared" si="136"/>
        <v>46418</v>
      </c>
      <c r="G142" s="16">
        <f t="shared" si="94"/>
        <v>0</v>
      </c>
      <c r="H142" s="16">
        <f t="shared" si="136"/>
        <v>30000</v>
      </c>
      <c r="I142" s="16">
        <f t="shared" si="136"/>
        <v>30000</v>
      </c>
      <c r="J142" s="16">
        <f t="shared" si="95"/>
        <v>0</v>
      </c>
      <c r="K142" s="16">
        <f t="shared" si="136"/>
        <v>20000</v>
      </c>
      <c r="L142" s="16">
        <f t="shared" si="136"/>
        <v>20000</v>
      </c>
      <c r="M142" s="16">
        <f t="shared" si="96"/>
        <v>0</v>
      </c>
      <c r="N142" s="16">
        <f t="shared" si="136"/>
        <v>2000000</v>
      </c>
      <c r="O142" s="16">
        <f t="shared" si="136"/>
        <v>2000000</v>
      </c>
      <c r="P142" s="16">
        <f t="shared" si="97"/>
        <v>0</v>
      </c>
      <c r="Q142" s="16">
        <f t="shared" si="136"/>
        <v>0</v>
      </c>
      <c r="R142" s="16">
        <f t="shared" si="136"/>
        <v>0</v>
      </c>
      <c r="S142" s="16">
        <f t="shared" si="98"/>
        <v>0</v>
      </c>
      <c r="T142" s="16">
        <f t="shared" si="136"/>
        <v>358455</v>
      </c>
      <c r="U142" s="16">
        <f t="shared" si="136"/>
        <v>358455</v>
      </c>
      <c r="V142" s="16">
        <f t="shared" si="99"/>
        <v>0</v>
      </c>
      <c r="W142" s="16">
        <f t="shared" si="136"/>
        <v>0</v>
      </c>
      <c r="X142" s="16">
        <f t="shared" si="136"/>
        <v>0</v>
      </c>
      <c r="Y142" s="16">
        <f t="shared" si="100"/>
        <v>0</v>
      </c>
      <c r="Z142" s="16">
        <f t="shared" si="136"/>
        <v>0</v>
      </c>
      <c r="AA142" s="16">
        <f t="shared" si="136"/>
        <v>0</v>
      </c>
      <c r="AB142" s="16">
        <f t="shared" si="101"/>
        <v>0</v>
      </c>
    </row>
    <row r="143" spans="1:189" s="17" customFormat="1" x14ac:dyDescent="0.25">
      <c r="A143" s="15" t="s">
        <v>13</v>
      </c>
      <c r="B143" s="16">
        <f t="shared" si="92"/>
        <v>2454873</v>
      </c>
      <c r="C143" s="16">
        <f t="shared" si="102"/>
        <v>2454873</v>
      </c>
      <c r="D143" s="16">
        <f t="shared" si="102"/>
        <v>0</v>
      </c>
      <c r="E143" s="16">
        <f t="shared" ref="E143:Z143" si="137">SUM(E144:E148)</f>
        <v>46418</v>
      </c>
      <c r="F143" s="16">
        <f t="shared" ref="F143" si="138">SUM(F144:F148)</f>
        <v>46418</v>
      </c>
      <c r="G143" s="16">
        <f t="shared" si="94"/>
        <v>0</v>
      </c>
      <c r="H143" s="16">
        <f t="shared" si="137"/>
        <v>30000</v>
      </c>
      <c r="I143" s="16">
        <f t="shared" ref="I143" si="139">SUM(I144:I148)</f>
        <v>30000</v>
      </c>
      <c r="J143" s="16">
        <f t="shared" si="95"/>
        <v>0</v>
      </c>
      <c r="K143" s="16">
        <f t="shared" si="137"/>
        <v>20000</v>
      </c>
      <c r="L143" s="16">
        <f t="shared" ref="L143" si="140">SUM(L144:L148)</f>
        <v>20000</v>
      </c>
      <c r="M143" s="16">
        <f t="shared" si="96"/>
        <v>0</v>
      </c>
      <c r="N143" s="16">
        <f t="shared" si="137"/>
        <v>2000000</v>
      </c>
      <c r="O143" s="16">
        <f t="shared" ref="O143" si="141">SUM(O144:O148)</f>
        <v>2000000</v>
      </c>
      <c r="P143" s="16">
        <f t="shared" si="97"/>
        <v>0</v>
      </c>
      <c r="Q143" s="16">
        <f t="shared" si="137"/>
        <v>0</v>
      </c>
      <c r="R143" s="16">
        <f t="shared" ref="R143" si="142">SUM(R144:R148)</f>
        <v>0</v>
      </c>
      <c r="S143" s="16">
        <f t="shared" si="98"/>
        <v>0</v>
      </c>
      <c r="T143" s="16">
        <f t="shared" si="137"/>
        <v>358455</v>
      </c>
      <c r="U143" s="16">
        <f t="shared" ref="U143" si="143">SUM(U144:U148)</f>
        <v>358455</v>
      </c>
      <c r="V143" s="16">
        <f t="shared" si="99"/>
        <v>0</v>
      </c>
      <c r="W143" s="16">
        <f t="shared" ref="W143" si="144">SUM(W144:W148)</f>
        <v>0</v>
      </c>
      <c r="X143" s="16">
        <f t="shared" ref="X143" si="145">SUM(X144:X148)</f>
        <v>0</v>
      </c>
      <c r="Y143" s="16">
        <f t="shared" si="100"/>
        <v>0</v>
      </c>
      <c r="Z143" s="16">
        <f t="shared" si="137"/>
        <v>0</v>
      </c>
      <c r="AA143" s="16">
        <f t="shared" ref="AA143" si="146">SUM(AA144:AA148)</f>
        <v>0</v>
      </c>
      <c r="AB143" s="16">
        <f t="shared" si="101"/>
        <v>0</v>
      </c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</row>
    <row r="144" spans="1:189" s="17" customFormat="1" ht="94.5" x14ac:dyDescent="0.25">
      <c r="A144" s="22" t="s">
        <v>99</v>
      </c>
      <c r="B144" s="23">
        <f t="shared" si="92"/>
        <v>2000000</v>
      </c>
      <c r="C144" s="23">
        <f t="shared" ref="C144:D160" si="147">F144+I144+L144+O144+R144+U144+AA144</f>
        <v>2000000</v>
      </c>
      <c r="D144" s="23">
        <f t="shared" si="147"/>
        <v>0</v>
      </c>
      <c r="E144" s="23"/>
      <c r="F144" s="23"/>
      <c r="G144" s="23">
        <f t="shared" si="94"/>
        <v>0</v>
      </c>
      <c r="H144" s="23"/>
      <c r="I144" s="23"/>
      <c r="J144" s="23">
        <f t="shared" si="95"/>
        <v>0</v>
      </c>
      <c r="K144" s="23"/>
      <c r="L144" s="23"/>
      <c r="M144" s="23">
        <f t="shared" si="96"/>
        <v>0</v>
      </c>
      <c r="N144" s="23">
        <v>2000000</v>
      </c>
      <c r="O144" s="23">
        <v>2000000</v>
      </c>
      <c r="P144" s="23">
        <f t="shared" si="97"/>
        <v>0</v>
      </c>
      <c r="Q144" s="23"/>
      <c r="R144" s="23"/>
      <c r="S144" s="23">
        <f t="shared" si="98"/>
        <v>0</v>
      </c>
      <c r="T144" s="23"/>
      <c r="U144" s="23"/>
      <c r="V144" s="23">
        <f t="shared" si="99"/>
        <v>0</v>
      </c>
      <c r="W144" s="23"/>
      <c r="X144" s="23"/>
      <c r="Y144" s="23">
        <f t="shared" si="100"/>
        <v>0</v>
      </c>
      <c r="Z144" s="23"/>
      <c r="AA144" s="23"/>
      <c r="AB144" s="23">
        <f t="shared" si="101"/>
        <v>0</v>
      </c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</row>
    <row r="145" spans="1:189" s="17" customFormat="1" x14ac:dyDescent="0.25">
      <c r="A145" s="22" t="s">
        <v>100</v>
      </c>
      <c r="B145" s="23">
        <f t="shared" si="92"/>
        <v>20000</v>
      </c>
      <c r="C145" s="23">
        <f t="shared" si="147"/>
        <v>20000</v>
      </c>
      <c r="D145" s="23">
        <f t="shared" si="147"/>
        <v>0</v>
      </c>
      <c r="E145" s="23"/>
      <c r="F145" s="23"/>
      <c r="G145" s="23">
        <f t="shared" si="94"/>
        <v>0</v>
      </c>
      <c r="H145" s="23"/>
      <c r="I145" s="23"/>
      <c r="J145" s="23">
        <f t="shared" si="95"/>
        <v>0</v>
      </c>
      <c r="K145" s="23">
        <v>20000</v>
      </c>
      <c r="L145" s="23">
        <v>20000</v>
      </c>
      <c r="M145" s="23">
        <f t="shared" si="96"/>
        <v>0</v>
      </c>
      <c r="N145" s="23"/>
      <c r="O145" s="23"/>
      <c r="P145" s="23">
        <f t="shared" si="97"/>
        <v>0</v>
      </c>
      <c r="Q145" s="23"/>
      <c r="R145" s="23"/>
      <c r="S145" s="23">
        <f t="shared" si="98"/>
        <v>0</v>
      </c>
      <c r="T145" s="23"/>
      <c r="U145" s="23"/>
      <c r="V145" s="23">
        <f t="shared" si="99"/>
        <v>0</v>
      </c>
      <c r="W145" s="23"/>
      <c r="X145" s="23"/>
      <c r="Y145" s="23">
        <f t="shared" si="100"/>
        <v>0</v>
      </c>
      <c r="Z145" s="23"/>
      <c r="AA145" s="23"/>
      <c r="AB145" s="23">
        <f t="shared" si="101"/>
        <v>0</v>
      </c>
    </row>
    <row r="146" spans="1:189" s="17" customFormat="1" ht="31.5" x14ac:dyDescent="0.25">
      <c r="A146" s="22" t="s">
        <v>101</v>
      </c>
      <c r="B146" s="23">
        <f t="shared" si="92"/>
        <v>30000</v>
      </c>
      <c r="C146" s="23">
        <f t="shared" si="147"/>
        <v>30000</v>
      </c>
      <c r="D146" s="23">
        <f t="shared" si="147"/>
        <v>0</v>
      </c>
      <c r="E146" s="23"/>
      <c r="F146" s="23"/>
      <c r="G146" s="23">
        <f t="shared" si="94"/>
        <v>0</v>
      </c>
      <c r="H146" s="23">
        <v>30000</v>
      </c>
      <c r="I146" s="23">
        <v>30000</v>
      </c>
      <c r="J146" s="23">
        <f t="shared" si="95"/>
        <v>0</v>
      </c>
      <c r="K146" s="23"/>
      <c r="L146" s="23"/>
      <c r="M146" s="23">
        <f t="shared" si="96"/>
        <v>0</v>
      </c>
      <c r="N146" s="23"/>
      <c r="O146" s="23"/>
      <c r="P146" s="23">
        <f t="shared" si="97"/>
        <v>0</v>
      </c>
      <c r="Q146" s="23"/>
      <c r="R146" s="23"/>
      <c r="S146" s="23">
        <f t="shared" si="98"/>
        <v>0</v>
      </c>
      <c r="T146" s="23"/>
      <c r="U146" s="23"/>
      <c r="V146" s="23">
        <f t="shared" si="99"/>
        <v>0</v>
      </c>
      <c r="W146" s="23"/>
      <c r="X146" s="23"/>
      <c r="Y146" s="23">
        <f t="shared" si="100"/>
        <v>0</v>
      </c>
      <c r="Z146" s="23"/>
      <c r="AA146" s="23"/>
      <c r="AB146" s="23">
        <f t="shared" si="101"/>
        <v>0</v>
      </c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</row>
    <row r="147" spans="1:189" s="14" customFormat="1" ht="63" x14ac:dyDescent="0.25">
      <c r="A147" s="27" t="s">
        <v>102</v>
      </c>
      <c r="B147" s="23">
        <f t="shared" si="92"/>
        <v>54873</v>
      </c>
      <c r="C147" s="23">
        <f t="shared" si="147"/>
        <v>54873</v>
      </c>
      <c r="D147" s="23">
        <f t="shared" si="147"/>
        <v>0</v>
      </c>
      <c r="E147" s="23"/>
      <c r="F147" s="23"/>
      <c r="G147" s="23">
        <f t="shared" si="94"/>
        <v>0</v>
      </c>
      <c r="H147" s="23"/>
      <c r="I147" s="23"/>
      <c r="J147" s="23">
        <f t="shared" si="95"/>
        <v>0</v>
      </c>
      <c r="K147" s="23"/>
      <c r="L147" s="23"/>
      <c r="M147" s="23">
        <f t="shared" si="96"/>
        <v>0</v>
      </c>
      <c r="N147" s="23"/>
      <c r="O147" s="23"/>
      <c r="P147" s="23">
        <f t="shared" si="97"/>
        <v>0</v>
      </c>
      <c r="Q147" s="23"/>
      <c r="R147" s="23"/>
      <c r="S147" s="23">
        <f t="shared" si="98"/>
        <v>0</v>
      </c>
      <c r="T147" s="23">
        <v>54873</v>
      </c>
      <c r="U147" s="23">
        <v>54873</v>
      </c>
      <c r="V147" s="23">
        <f t="shared" si="99"/>
        <v>0</v>
      </c>
      <c r="W147" s="23"/>
      <c r="X147" s="23"/>
      <c r="Y147" s="23">
        <f t="shared" si="100"/>
        <v>0</v>
      </c>
      <c r="Z147" s="23"/>
      <c r="AA147" s="23"/>
      <c r="AB147" s="23">
        <f t="shared" si="101"/>
        <v>0</v>
      </c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</row>
    <row r="148" spans="1:189" s="14" customFormat="1" ht="31.5" x14ac:dyDescent="0.25">
      <c r="A148" s="27" t="s">
        <v>103</v>
      </c>
      <c r="B148" s="23">
        <f t="shared" si="92"/>
        <v>350000</v>
      </c>
      <c r="C148" s="23">
        <f t="shared" si="147"/>
        <v>350000</v>
      </c>
      <c r="D148" s="23">
        <f t="shared" si="147"/>
        <v>0</v>
      </c>
      <c r="E148" s="23">
        <v>46418</v>
      </c>
      <c r="F148" s="23">
        <v>46418</v>
      </c>
      <c r="G148" s="23">
        <f t="shared" si="94"/>
        <v>0</v>
      </c>
      <c r="H148" s="23"/>
      <c r="I148" s="23"/>
      <c r="J148" s="23">
        <f t="shared" si="95"/>
        <v>0</v>
      </c>
      <c r="K148" s="23"/>
      <c r="L148" s="23"/>
      <c r="M148" s="23">
        <f t="shared" si="96"/>
        <v>0</v>
      </c>
      <c r="N148" s="23"/>
      <c r="O148" s="23"/>
      <c r="P148" s="23">
        <f t="shared" si="97"/>
        <v>0</v>
      </c>
      <c r="Q148" s="23"/>
      <c r="R148" s="23"/>
      <c r="S148" s="23">
        <f t="shared" si="98"/>
        <v>0</v>
      </c>
      <c r="T148" s="23">
        <v>303582</v>
      </c>
      <c r="U148" s="23">
        <v>303582</v>
      </c>
      <c r="V148" s="23">
        <f t="shared" si="99"/>
        <v>0</v>
      </c>
      <c r="W148" s="23"/>
      <c r="X148" s="23"/>
      <c r="Y148" s="23">
        <f t="shared" si="100"/>
        <v>0</v>
      </c>
      <c r="Z148" s="23">
        <v>0</v>
      </c>
      <c r="AA148" s="23">
        <v>0</v>
      </c>
      <c r="AB148" s="23">
        <f t="shared" si="101"/>
        <v>0</v>
      </c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  <c r="FQ148" s="17"/>
      <c r="FR148" s="17"/>
      <c r="FS148" s="17"/>
      <c r="FT148" s="17"/>
      <c r="FU148" s="17"/>
      <c r="FV148" s="17"/>
      <c r="FW148" s="17"/>
      <c r="FX148" s="17"/>
      <c r="FY148" s="17"/>
      <c r="FZ148" s="17"/>
      <c r="GA148" s="17"/>
      <c r="GB148" s="17"/>
      <c r="GC148" s="17"/>
      <c r="GD148" s="17"/>
      <c r="GE148" s="17"/>
      <c r="GF148" s="17"/>
      <c r="GG148" s="17"/>
    </row>
    <row r="149" spans="1:189" s="17" customFormat="1" x14ac:dyDescent="0.25">
      <c r="A149" s="15" t="s">
        <v>104</v>
      </c>
      <c r="B149" s="16">
        <f t="shared" si="92"/>
        <v>15164106</v>
      </c>
      <c r="C149" s="16">
        <f t="shared" si="147"/>
        <v>15360912</v>
      </c>
      <c r="D149" s="16">
        <f t="shared" si="147"/>
        <v>196806</v>
      </c>
      <c r="E149" s="16">
        <f>SUM(E150,E163,E172,E210,E235,E265,E295,E200)</f>
        <v>588303</v>
      </c>
      <c r="F149" s="16">
        <f>SUM(F150,F163,F172,F210,F235,F265,F295,F200)</f>
        <v>588303</v>
      </c>
      <c r="G149" s="16">
        <f t="shared" si="94"/>
        <v>0</v>
      </c>
      <c r="H149" s="16">
        <f>SUM(H150,H163,H172,H210,H235,H265,H295,H200)</f>
        <v>309982</v>
      </c>
      <c r="I149" s="16">
        <f>SUM(I150,I163,I172,I210,I235,I265,I295,I200)</f>
        <v>309982</v>
      </c>
      <c r="J149" s="16">
        <f t="shared" si="95"/>
        <v>0</v>
      </c>
      <c r="K149" s="16">
        <f>SUM(K150,K163,K172,K210,K235,K265,K295,K200)</f>
        <v>636680</v>
      </c>
      <c r="L149" s="16">
        <f>SUM(L150,L163,L172,L210,L235,L265,L295,L200)</f>
        <v>769185</v>
      </c>
      <c r="M149" s="16">
        <f t="shared" si="96"/>
        <v>132505</v>
      </c>
      <c r="N149" s="16">
        <f>SUM(N150,N163,N172,N210,N235,N265,N295,N200)</f>
        <v>4616029</v>
      </c>
      <c r="O149" s="16">
        <f>SUM(O150,O163,O172,O210,O235,O265,O295,O200)</f>
        <v>4621462</v>
      </c>
      <c r="P149" s="16">
        <f t="shared" si="97"/>
        <v>5433</v>
      </c>
      <c r="Q149" s="16">
        <f>SUM(Q150,Q163,Q172,Q210,Q235,Q265,Q295,Q200)</f>
        <v>329614</v>
      </c>
      <c r="R149" s="16">
        <f>SUM(R150,R163,R172,R210,R235,R265,R295,R200)</f>
        <v>388482</v>
      </c>
      <c r="S149" s="16">
        <f t="shared" si="98"/>
        <v>58868</v>
      </c>
      <c r="T149" s="16">
        <f>SUM(T150,T163,T172,T210,T235,T265,T295,T200)</f>
        <v>4331414</v>
      </c>
      <c r="U149" s="16">
        <f>SUM(U150,U163,U172,U210,U235,U265,U295,U200)</f>
        <v>4331414</v>
      </c>
      <c r="V149" s="16">
        <f t="shared" si="99"/>
        <v>0</v>
      </c>
      <c r="W149" s="16">
        <f>SUM(W150,W163,W172,W210,W235,W265,W295,W200)</f>
        <v>0</v>
      </c>
      <c r="X149" s="16">
        <f>SUM(X150,X163,X172,X210,X235,X265,X295,X200)</f>
        <v>0</v>
      </c>
      <c r="Y149" s="16">
        <f t="shared" si="100"/>
        <v>0</v>
      </c>
      <c r="Z149" s="16">
        <f>SUM(Z150,Z163,Z172,Z210,Z235,Z265,Z295,Z200)</f>
        <v>4352084</v>
      </c>
      <c r="AA149" s="16">
        <f>SUM(AA150,AA163,AA172,AA210,AA235,AA265,AA295,AA200)</f>
        <v>4352084</v>
      </c>
      <c r="AB149" s="16">
        <f t="shared" si="101"/>
        <v>0</v>
      </c>
    </row>
    <row r="150" spans="1:189" s="17" customFormat="1" x14ac:dyDescent="0.25">
      <c r="A150" s="15" t="s">
        <v>12</v>
      </c>
      <c r="B150" s="16">
        <f t="shared" si="92"/>
        <v>174846</v>
      </c>
      <c r="C150" s="16">
        <f t="shared" si="147"/>
        <v>175764</v>
      </c>
      <c r="D150" s="16">
        <f t="shared" si="147"/>
        <v>918</v>
      </c>
      <c r="E150" s="16">
        <f>SUM(E151,E156,E158,E161)</f>
        <v>0</v>
      </c>
      <c r="F150" s="16">
        <f>SUM(F151,F156,F158,F161)</f>
        <v>0</v>
      </c>
      <c r="G150" s="16">
        <f t="shared" si="94"/>
        <v>0</v>
      </c>
      <c r="H150" s="16">
        <f t="shared" ref="H150:Z150" si="148">SUM(H151,H156,H158,H161)</f>
        <v>0</v>
      </c>
      <c r="I150" s="16">
        <f t="shared" ref="I150" si="149">SUM(I151,I156,I158,I161)</f>
        <v>0</v>
      </c>
      <c r="J150" s="16">
        <f t="shared" si="95"/>
        <v>0</v>
      </c>
      <c r="K150" s="16">
        <f t="shared" si="148"/>
        <v>104362</v>
      </c>
      <c r="L150" s="16">
        <f t="shared" ref="L150" si="150">SUM(L151,L156,L158,L161)</f>
        <v>105280</v>
      </c>
      <c r="M150" s="16">
        <f t="shared" si="96"/>
        <v>918</v>
      </c>
      <c r="N150" s="16">
        <f t="shared" si="148"/>
        <v>0</v>
      </c>
      <c r="O150" s="16">
        <f t="shared" ref="O150" si="151">SUM(O151,O156,O158,O161)</f>
        <v>0</v>
      </c>
      <c r="P150" s="16">
        <f t="shared" si="97"/>
        <v>0</v>
      </c>
      <c r="Q150" s="16">
        <f t="shared" si="148"/>
        <v>0</v>
      </c>
      <c r="R150" s="16">
        <f t="shared" ref="R150" si="152">SUM(R151,R156,R158,R161)</f>
        <v>0</v>
      </c>
      <c r="S150" s="16">
        <f t="shared" si="98"/>
        <v>0</v>
      </c>
      <c r="T150" s="16">
        <f t="shared" si="148"/>
        <v>0</v>
      </c>
      <c r="U150" s="16">
        <f t="shared" ref="U150" si="153">SUM(U151,U156,U158,U161)</f>
        <v>0</v>
      </c>
      <c r="V150" s="16">
        <f t="shared" si="99"/>
        <v>0</v>
      </c>
      <c r="W150" s="16">
        <f t="shared" ref="W150" si="154">SUM(W151,W156,W158,W161)</f>
        <v>0</v>
      </c>
      <c r="X150" s="16">
        <f t="shared" ref="X150" si="155">SUM(X151,X156,X158,X161)</f>
        <v>0</v>
      </c>
      <c r="Y150" s="16">
        <f t="shared" si="100"/>
        <v>0</v>
      </c>
      <c r="Z150" s="16">
        <f t="shared" si="148"/>
        <v>70484</v>
      </c>
      <c r="AA150" s="16">
        <f t="shared" ref="AA150" si="156">SUM(AA151,AA156,AA158,AA161)</f>
        <v>70484</v>
      </c>
      <c r="AB150" s="16">
        <f t="shared" si="101"/>
        <v>0</v>
      </c>
    </row>
    <row r="151" spans="1:189" s="17" customFormat="1" x14ac:dyDescent="0.25">
      <c r="A151" s="15" t="s">
        <v>105</v>
      </c>
      <c r="B151" s="16">
        <f t="shared" si="92"/>
        <v>72362</v>
      </c>
      <c r="C151" s="16">
        <f t="shared" si="147"/>
        <v>73280</v>
      </c>
      <c r="D151" s="16">
        <f t="shared" si="147"/>
        <v>918</v>
      </c>
      <c r="E151" s="16">
        <f t="shared" ref="E151:Z151" si="157">SUM(E152:E155)</f>
        <v>0</v>
      </c>
      <c r="F151" s="16">
        <f t="shared" ref="F151" si="158">SUM(F152:F155)</f>
        <v>0</v>
      </c>
      <c r="G151" s="16">
        <f t="shared" si="94"/>
        <v>0</v>
      </c>
      <c r="H151" s="16">
        <f t="shared" si="157"/>
        <v>0</v>
      </c>
      <c r="I151" s="16">
        <f t="shared" ref="I151" si="159">SUM(I152:I155)</f>
        <v>0</v>
      </c>
      <c r="J151" s="16">
        <f t="shared" si="95"/>
        <v>0</v>
      </c>
      <c r="K151" s="16">
        <f t="shared" si="157"/>
        <v>72362</v>
      </c>
      <c r="L151" s="16">
        <f t="shared" ref="L151" si="160">SUM(L152:L155)</f>
        <v>73280</v>
      </c>
      <c r="M151" s="16">
        <f t="shared" si="96"/>
        <v>918</v>
      </c>
      <c r="N151" s="16">
        <f t="shared" si="157"/>
        <v>0</v>
      </c>
      <c r="O151" s="16">
        <f t="shared" ref="O151" si="161">SUM(O152:O155)</f>
        <v>0</v>
      </c>
      <c r="P151" s="16">
        <f t="shared" si="97"/>
        <v>0</v>
      </c>
      <c r="Q151" s="16">
        <f t="shared" si="157"/>
        <v>0</v>
      </c>
      <c r="R151" s="16">
        <f t="shared" ref="R151" si="162">SUM(R152:R155)</f>
        <v>0</v>
      </c>
      <c r="S151" s="16">
        <f t="shared" si="98"/>
        <v>0</v>
      </c>
      <c r="T151" s="16">
        <f t="shared" si="157"/>
        <v>0</v>
      </c>
      <c r="U151" s="16">
        <f t="shared" ref="U151" si="163">SUM(U152:U155)</f>
        <v>0</v>
      </c>
      <c r="V151" s="16">
        <f t="shared" si="99"/>
        <v>0</v>
      </c>
      <c r="W151" s="16">
        <f t="shared" ref="W151" si="164">SUM(W152:W155)</f>
        <v>0</v>
      </c>
      <c r="X151" s="16">
        <f t="shared" ref="X151" si="165">SUM(X152:X155)</f>
        <v>0</v>
      </c>
      <c r="Y151" s="16">
        <f t="shared" si="100"/>
        <v>0</v>
      </c>
      <c r="Z151" s="16">
        <f t="shared" si="157"/>
        <v>0</v>
      </c>
      <c r="AA151" s="16">
        <f t="shared" ref="AA151" si="166">SUM(AA152:AA155)</f>
        <v>0</v>
      </c>
      <c r="AB151" s="16">
        <f t="shared" si="101"/>
        <v>0</v>
      </c>
    </row>
    <row r="152" spans="1:189" s="17" customFormat="1" ht="31.5" x14ac:dyDescent="0.25">
      <c r="A152" s="22" t="s">
        <v>106</v>
      </c>
      <c r="B152" s="23">
        <f t="shared" si="92"/>
        <v>70000</v>
      </c>
      <c r="C152" s="23">
        <f t="shared" si="147"/>
        <v>70000</v>
      </c>
      <c r="D152" s="23">
        <f t="shared" si="147"/>
        <v>0</v>
      </c>
      <c r="E152" s="23"/>
      <c r="F152" s="23"/>
      <c r="G152" s="23">
        <f t="shared" si="94"/>
        <v>0</v>
      </c>
      <c r="H152" s="23"/>
      <c r="I152" s="23"/>
      <c r="J152" s="23">
        <f t="shared" si="95"/>
        <v>0</v>
      </c>
      <c r="K152" s="23">
        <v>70000</v>
      </c>
      <c r="L152" s="23">
        <v>70000</v>
      </c>
      <c r="M152" s="23">
        <f t="shared" si="96"/>
        <v>0</v>
      </c>
      <c r="N152" s="23"/>
      <c r="O152" s="23"/>
      <c r="P152" s="23">
        <f t="shared" si="97"/>
        <v>0</v>
      </c>
      <c r="Q152" s="23"/>
      <c r="R152" s="23"/>
      <c r="S152" s="23">
        <f t="shared" si="98"/>
        <v>0</v>
      </c>
      <c r="T152" s="23"/>
      <c r="U152" s="23"/>
      <c r="V152" s="23">
        <f t="shared" si="99"/>
        <v>0</v>
      </c>
      <c r="W152" s="23"/>
      <c r="X152" s="23"/>
      <c r="Y152" s="23">
        <f t="shared" si="100"/>
        <v>0</v>
      </c>
      <c r="Z152" s="23"/>
      <c r="AA152" s="23"/>
      <c r="AB152" s="23">
        <f t="shared" si="101"/>
        <v>0</v>
      </c>
    </row>
    <row r="153" spans="1:189" s="17" customFormat="1" ht="31.5" x14ac:dyDescent="0.25">
      <c r="A153" s="22" t="s">
        <v>256</v>
      </c>
      <c r="B153" s="23">
        <f t="shared" ref="B153" si="167">E153+H153+K153+N153+Q153+T153+Z153</f>
        <v>0</v>
      </c>
      <c r="C153" s="23">
        <f t="shared" ref="C153" si="168">F153+I153+L153+O153+R153+U153+AA153</f>
        <v>918</v>
      </c>
      <c r="D153" s="23">
        <f t="shared" ref="D153" si="169">G153+J153+M153+P153+S153+V153+AB153</f>
        <v>918</v>
      </c>
      <c r="E153" s="23"/>
      <c r="F153" s="23"/>
      <c r="G153" s="23">
        <f t="shared" ref="G153" si="170">F153-E153</f>
        <v>0</v>
      </c>
      <c r="H153" s="23"/>
      <c r="I153" s="23"/>
      <c r="J153" s="23">
        <f t="shared" ref="J153" si="171">I153-H153</f>
        <v>0</v>
      </c>
      <c r="K153" s="23">
        <v>0</v>
      </c>
      <c r="L153" s="23">
        <v>918</v>
      </c>
      <c r="M153" s="23">
        <f t="shared" ref="M153" si="172">L153-K153</f>
        <v>918</v>
      </c>
      <c r="N153" s="23"/>
      <c r="O153" s="23"/>
      <c r="P153" s="23">
        <f t="shared" ref="P153" si="173">O153-N153</f>
        <v>0</v>
      </c>
      <c r="Q153" s="23"/>
      <c r="R153" s="23"/>
      <c r="S153" s="23">
        <f t="shared" ref="S153" si="174">R153-Q153</f>
        <v>0</v>
      </c>
      <c r="T153" s="23"/>
      <c r="U153" s="23"/>
      <c r="V153" s="23">
        <f t="shared" ref="V153" si="175">U153-T153</f>
        <v>0</v>
      </c>
      <c r="W153" s="23"/>
      <c r="X153" s="23"/>
      <c r="Y153" s="23">
        <f t="shared" ref="Y153" si="176">X153-W153</f>
        <v>0</v>
      </c>
      <c r="Z153" s="23"/>
      <c r="AA153" s="23"/>
      <c r="AB153" s="23">
        <f t="shared" ref="AB153" si="177">AA153-Z153</f>
        <v>0</v>
      </c>
    </row>
    <row r="154" spans="1:189" s="17" customFormat="1" ht="31.5" x14ac:dyDescent="0.25">
      <c r="A154" s="22" t="s">
        <v>107</v>
      </c>
      <c r="B154" s="23">
        <f t="shared" si="92"/>
        <v>1198</v>
      </c>
      <c r="C154" s="23">
        <f t="shared" si="147"/>
        <v>1198</v>
      </c>
      <c r="D154" s="23">
        <f t="shared" si="147"/>
        <v>0</v>
      </c>
      <c r="E154" s="23"/>
      <c r="F154" s="23"/>
      <c r="G154" s="23">
        <f t="shared" si="94"/>
        <v>0</v>
      </c>
      <c r="H154" s="23"/>
      <c r="I154" s="23"/>
      <c r="J154" s="23">
        <f t="shared" si="95"/>
        <v>0</v>
      </c>
      <c r="K154" s="23">
        <v>1198</v>
      </c>
      <c r="L154" s="23">
        <v>1198</v>
      </c>
      <c r="M154" s="23">
        <f t="shared" si="96"/>
        <v>0</v>
      </c>
      <c r="N154" s="23"/>
      <c r="O154" s="23"/>
      <c r="P154" s="23">
        <f t="shared" si="97"/>
        <v>0</v>
      </c>
      <c r="Q154" s="23"/>
      <c r="R154" s="23"/>
      <c r="S154" s="23">
        <f t="shared" si="98"/>
        <v>0</v>
      </c>
      <c r="T154" s="23"/>
      <c r="U154" s="23"/>
      <c r="V154" s="23">
        <f t="shared" si="99"/>
        <v>0</v>
      </c>
      <c r="W154" s="23"/>
      <c r="X154" s="23"/>
      <c r="Y154" s="23">
        <f t="shared" si="100"/>
        <v>0</v>
      </c>
      <c r="Z154" s="23"/>
      <c r="AA154" s="23"/>
      <c r="AB154" s="23">
        <f t="shared" si="101"/>
        <v>0</v>
      </c>
    </row>
    <row r="155" spans="1:189" s="17" customFormat="1" ht="31.5" x14ac:dyDescent="0.25">
      <c r="A155" s="22" t="s">
        <v>108</v>
      </c>
      <c r="B155" s="23">
        <f t="shared" si="92"/>
        <v>1164</v>
      </c>
      <c r="C155" s="23">
        <f t="shared" si="147"/>
        <v>1164</v>
      </c>
      <c r="D155" s="23">
        <f t="shared" si="147"/>
        <v>0</v>
      </c>
      <c r="E155" s="23"/>
      <c r="F155" s="23"/>
      <c r="G155" s="23">
        <f t="shared" si="94"/>
        <v>0</v>
      </c>
      <c r="H155" s="23"/>
      <c r="I155" s="23"/>
      <c r="J155" s="23">
        <f t="shared" si="95"/>
        <v>0</v>
      </c>
      <c r="K155" s="23">
        <v>1164</v>
      </c>
      <c r="L155" s="23">
        <v>1164</v>
      </c>
      <c r="M155" s="23">
        <f t="shared" si="96"/>
        <v>0</v>
      </c>
      <c r="N155" s="23"/>
      <c r="O155" s="23"/>
      <c r="P155" s="23">
        <f t="shared" si="97"/>
        <v>0</v>
      </c>
      <c r="Q155" s="23"/>
      <c r="R155" s="23"/>
      <c r="S155" s="23">
        <f t="shared" si="98"/>
        <v>0</v>
      </c>
      <c r="T155" s="23"/>
      <c r="U155" s="23"/>
      <c r="V155" s="23">
        <f t="shared" si="99"/>
        <v>0</v>
      </c>
      <c r="W155" s="23"/>
      <c r="X155" s="23"/>
      <c r="Y155" s="23">
        <f t="shared" si="100"/>
        <v>0</v>
      </c>
      <c r="Z155" s="23"/>
      <c r="AA155" s="23"/>
      <c r="AB155" s="23">
        <f t="shared" si="101"/>
        <v>0</v>
      </c>
    </row>
    <row r="156" spans="1:189" s="14" customFormat="1" x14ac:dyDescent="0.25">
      <c r="A156" s="15" t="s">
        <v>109</v>
      </c>
      <c r="B156" s="16">
        <f t="shared" si="92"/>
        <v>44144</v>
      </c>
      <c r="C156" s="16">
        <f t="shared" si="147"/>
        <v>44144</v>
      </c>
      <c r="D156" s="16">
        <f t="shared" si="147"/>
        <v>0</v>
      </c>
      <c r="E156" s="16">
        <f t="shared" ref="E156:AA156" si="178">SUM(E157:E157)</f>
        <v>0</v>
      </c>
      <c r="F156" s="16">
        <f t="shared" si="178"/>
        <v>0</v>
      </c>
      <c r="G156" s="16">
        <f t="shared" si="94"/>
        <v>0</v>
      </c>
      <c r="H156" s="16">
        <f t="shared" si="178"/>
        <v>0</v>
      </c>
      <c r="I156" s="16">
        <f t="shared" si="178"/>
        <v>0</v>
      </c>
      <c r="J156" s="16">
        <f t="shared" si="95"/>
        <v>0</v>
      </c>
      <c r="K156" s="16">
        <f t="shared" si="178"/>
        <v>0</v>
      </c>
      <c r="L156" s="16">
        <f t="shared" si="178"/>
        <v>0</v>
      </c>
      <c r="M156" s="16">
        <f t="shared" si="96"/>
        <v>0</v>
      </c>
      <c r="N156" s="16">
        <f t="shared" si="178"/>
        <v>0</v>
      </c>
      <c r="O156" s="16">
        <f t="shared" si="178"/>
        <v>0</v>
      </c>
      <c r="P156" s="16">
        <f t="shared" si="97"/>
        <v>0</v>
      </c>
      <c r="Q156" s="16">
        <f t="shared" si="178"/>
        <v>0</v>
      </c>
      <c r="R156" s="16">
        <f t="shared" si="178"/>
        <v>0</v>
      </c>
      <c r="S156" s="16">
        <f t="shared" si="98"/>
        <v>0</v>
      </c>
      <c r="T156" s="16">
        <f t="shared" si="178"/>
        <v>0</v>
      </c>
      <c r="U156" s="16">
        <f t="shared" si="178"/>
        <v>0</v>
      </c>
      <c r="V156" s="16">
        <f t="shared" si="99"/>
        <v>0</v>
      </c>
      <c r="W156" s="16">
        <f t="shared" si="178"/>
        <v>0</v>
      </c>
      <c r="X156" s="16">
        <f t="shared" si="178"/>
        <v>0</v>
      </c>
      <c r="Y156" s="16">
        <f t="shared" si="100"/>
        <v>0</v>
      </c>
      <c r="Z156" s="16">
        <f t="shared" si="178"/>
        <v>44144</v>
      </c>
      <c r="AA156" s="16">
        <f t="shared" si="178"/>
        <v>44144</v>
      </c>
      <c r="AB156" s="16">
        <f t="shared" si="101"/>
        <v>0</v>
      </c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  <c r="FB156" s="17"/>
      <c r="FC156" s="17"/>
      <c r="FD156" s="17"/>
      <c r="FE156" s="17"/>
      <c r="FF156" s="17"/>
      <c r="FG156" s="17"/>
      <c r="FH156" s="17"/>
      <c r="FI156" s="17"/>
      <c r="FJ156" s="17"/>
      <c r="FK156" s="17"/>
      <c r="FL156" s="17"/>
      <c r="FM156" s="17"/>
      <c r="FN156" s="17"/>
      <c r="FO156" s="17"/>
      <c r="FP156" s="17"/>
      <c r="FQ156" s="17"/>
      <c r="FR156" s="17"/>
      <c r="FS156" s="17"/>
      <c r="FT156" s="17"/>
      <c r="FU156" s="17"/>
      <c r="FV156" s="17"/>
      <c r="FW156" s="17"/>
      <c r="FX156" s="17"/>
      <c r="FY156" s="17"/>
      <c r="FZ156" s="17"/>
      <c r="GA156" s="17"/>
      <c r="GB156" s="17"/>
      <c r="GC156" s="17"/>
      <c r="GD156" s="17"/>
      <c r="GE156" s="17"/>
      <c r="GF156" s="17"/>
      <c r="GG156" s="17"/>
    </row>
    <row r="157" spans="1:189" s="17" customFormat="1" ht="47.25" x14ac:dyDescent="0.25">
      <c r="A157" s="27" t="s">
        <v>110</v>
      </c>
      <c r="B157" s="23">
        <f t="shared" si="92"/>
        <v>44144</v>
      </c>
      <c r="C157" s="23">
        <f t="shared" si="147"/>
        <v>44144</v>
      </c>
      <c r="D157" s="23">
        <f t="shared" si="147"/>
        <v>0</v>
      </c>
      <c r="E157" s="23"/>
      <c r="F157" s="23"/>
      <c r="G157" s="23">
        <f t="shared" si="94"/>
        <v>0</v>
      </c>
      <c r="H157" s="23"/>
      <c r="I157" s="23"/>
      <c r="J157" s="23">
        <f t="shared" si="95"/>
        <v>0</v>
      </c>
      <c r="K157" s="23">
        <v>0</v>
      </c>
      <c r="L157" s="23">
        <v>0</v>
      </c>
      <c r="M157" s="23">
        <f t="shared" si="96"/>
        <v>0</v>
      </c>
      <c r="N157" s="23"/>
      <c r="O157" s="23"/>
      <c r="P157" s="23">
        <f t="shared" si="97"/>
        <v>0</v>
      </c>
      <c r="Q157" s="23"/>
      <c r="R157" s="23"/>
      <c r="S157" s="23">
        <f t="shared" si="98"/>
        <v>0</v>
      </c>
      <c r="T157" s="23"/>
      <c r="U157" s="23"/>
      <c r="V157" s="23">
        <f t="shared" si="99"/>
        <v>0</v>
      </c>
      <c r="W157" s="23"/>
      <c r="X157" s="23"/>
      <c r="Y157" s="23">
        <f t="shared" si="100"/>
        <v>0</v>
      </c>
      <c r="Z157" s="23">
        <v>44144</v>
      </c>
      <c r="AA157" s="23">
        <v>44144</v>
      </c>
      <c r="AB157" s="23">
        <f t="shared" si="101"/>
        <v>0</v>
      </c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</row>
    <row r="158" spans="1:189" s="17" customFormat="1" ht="31.5" x14ac:dyDescent="0.25">
      <c r="A158" s="15" t="s">
        <v>111</v>
      </c>
      <c r="B158" s="16">
        <f t="shared" si="92"/>
        <v>32000</v>
      </c>
      <c r="C158" s="16">
        <f t="shared" si="147"/>
        <v>32000</v>
      </c>
      <c r="D158" s="16">
        <f t="shared" si="147"/>
        <v>0</v>
      </c>
      <c r="E158" s="16">
        <f t="shared" ref="E158:Z158" si="179">SUM(E159:E160)</f>
        <v>0</v>
      </c>
      <c r="F158" s="16">
        <f t="shared" ref="F158" si="180">SUM(F159:F160)</f>
        <v>0</v>
      </c>
      <c r="G158" s="16">
        <f t="shared" si="94"/>
        <v>0</v>
      </c>
      <c r="H158" s="16">
        <f t="shared" si="179"/>
        <v>0</v>
      </c>
      <c r="I158" s="16">
        <f t="shared" ref="I158" si="181">SUM(I159:I160)</f>
        <v>0</v>
      </c>
      <c r="J158" s="16">
        <f t="shared" si="95"/>
        <v>0</v>
      </c>
      <c r="K158" s="16">
        <f t="shared" si="179"/>
        <v>32000</v>
      </c>
      <c r="L158" s="16">
        <f t="shared" ref="L158" si="182">SUM(L159:L160)</f>
        <v>32000</v>
      </c>
      <c r="M158" s="16">
        <f t="shared" si="96"/>
        <v>0</v>
      </c>
      <c r="N158" s="16">
        <f t="shared" si="179"/>
        <v>0</v>
      </c>
      <c r="O158" s="16">
        <f t="shared" ref="O158" si="183">SUM(O159:O160)</f>
        <v>0</v>
      </c>
      <c r="P158" s="16">
        <f t="shared" si="97"/>
        <v>0</v>
      </c>
      <c r="Q158" s="16">
        <f t="shared" si="179"/>
        <v>0</v>
      </c>
      <c r="R158" s="16">
        <f t="shared" ref="R158" si="184">SUM(R159:R160)</f>
        <v>0</v>
      </c>
      <c r="S158" s="16">
        <f t="shared" si="98"/>
        <v>0</v>
      </c>
      <c r="T158" s="16">
        <f t="shared" si="179"/>
        <v>0</v>
      </c>
      <c r="U158" s="16">
        <f t="shared" ref="U158" si="185">SUM(U159:U160)</f>
        <v>0</v>
      </c>
      <c r="V158" s="16">
        <f t="shared" si="99"/>
        <v>0</v>
      </c>
      <c r="W158" s="16">
        <f t="shared" ref="W158" si="186">SUM(W159:W160)</f>
        <v>0</v>
      </c>
      <c r="X158" s="16">
        <f t="shared" ref="X158" si="187">SUM(X159:X160)</f>
        <v>0</v>
      </c>
      <c r="Y158" s="16">
        <f t="shared" si="100"/>
        <v>0</v>
      </c>
      <c r="Z158" s="16">
        <f t="shared" si="179"/>
        <v>0</v>
      </c>
      <c r="AA158" s="16">
        <f t="shared" ref="AA158" si="188">SUM(AA159:AA160)</f>
        <v>0</v>
      </c>
      <c r="AB158" s="16">
        <f t="shared" si="101"/>
        <v>0</v>
      </c>
    </row>
    <row r="159" spans="1:189" s="17" customFormat="1" x14ac:dyDescent="0.25">
      <c r="A159" s="30" t="s">
        <v>112</v>
      </c>
      <c r="B159" s="23">
        <f t="shared" si="92"/>
        <v>12000</v>
      </c>
      <c r="C159" s="23">
        <f t="shared" si="147"/>
        <v>12000</v>
      </c>
      <c r="D159" s="23">
        <f t="shared" si="147"/>
        <v>0</v>
      </c>
      <c r="E159" s="23"/>
      <c r="F159" s="23"/>
      <c r="G159" s="23">
        <f t="shared" si="94"/>
        <v>0</v>
      </c>
      <c r="H159" s="23"/>
      <c r="I159" s="23"/>
      <c r="J159" s="23">
        <f t="shared" si="95"/>
        <v>0</v>
      </c>
      <c r="K159" s="23">
        <v>12000</v>
      </c>
      <c r="L159" s="23">
        <v>12000</v>
      </c>
      <c r="M159" s="23">
        <f t="shared" si="96"/>
        <v>0</v>
      </c>
      <c r="N159" s="23"/>
      <c r="O159" s="23"/>
      <c r="P159" s="23">
        <f t="shared" si="97"/>
        <v>0</v>
      </c>
      <c r="Q159" s="23"/>
      <c r="R159" s="23"/>
      <c r="S159" s="23">
        <f t="shared" si="98"/>
        <v>0</v>
      </c>
      <c r="T159" s="23"/>
      <c r="U159" s="23"/>
      <c r="V159" s="23">
        <f t="shared" si="99"/>
        <v>0</v>
      </c>
      <c r="W159" s="23"/>
      <c r="X159" s="23"/>
      <c r="Y159" s="23">
        <f t="shared" si="100"/>
        <v>0</v>
      </c>
      <c r="Z159" s="23"/>
      <c r="AA159" s="23"/>
      <c r="AB159" s="23">
        <f t="shared" si="101"/>
        <v>0</v>
      </c>
    </row>
    <row r="160" spans="1:189" s="17" customFormat="1" ht="31.5" x14ac:dyDescent="0.25">
      <c r="A160" s="30" t="s">
        <v>113</v>
      </c>
      <c r="B160" s="23">
        <f t="shared" si="92"/>
        <v>20000</v>
      </c>
      <c r="C160" s="23">
        <f t="shared" si="147"/>
        <v>20000</v>
      </c>
      <c r="D160" s="23">
        <f t="shared" si="147"/>
        <v>0</v>
      </c>
      <c r="E160" s="23"/>
      <c r="F160" s="23"/>
      <c r="G160" s="23">
        <f t="shared" si="94"/>
        <v>0</v>
      </c>
      <c r="H160" s="23"/>
      <c r="I160" s="23"/>
      <c r="J160" s="23">
        <f t="shared" si="95"/>
        <v>0</v>
      </c>
      <c r="K160" s="23">
        <v>20000</v>
      </c>
      <c r="L160" s="23">
        <v>20000</v>
      </c>
      <c r="M160" s="23">
        <f t="shared" si="96"/>
        <v>0</v>
      </c>
      <c r="N160" s="23"/>
      <c r="O160" s="23"/>
      <c r="P160" s="23">
        <f t="shared" si="97"/>
        <v>0</v>
      </c>
      <c r="Q160" s="23"/>
      <c r="R160" s="23"/>
      <c r="S160" s="23">
        <f t="shared" si="98"/>
        <v>0</v>
      </c>
      <c r="T160" s="23"/>
      <c r="U160" s="23"/>
      <c r="V160" s="23">
        <f t="shared" si="99"/>
        <v>0</v>
      </c>
      <c r="W160" s="23"/>
      <c r="X160" s="23"/>
      <c r="Y160" s="23">
        <f t="shared" si="100"/>
        <v>0</v>
      </c>
      <c r="Z160" s="23"/>
      <c r="AA160" s="23"/>
      <c r="AB160" s="23">
        <f t="shared" si="101"/>
        <v>0</v>
      </c>
    </row>
    <row r="161" spans="1:189" s="17" customFormat="1" x14ac:dyDescent="0.25">
      <c r="A161" s="15" t="s">
        <v>114</v>
      </c>
      <c r="B161" s="16">
        <f t="shared" si="92"/>
        <v>26340</v>
      </c>
      <c r="C161" s="16">
        <f t="shared" ref="C161:D182" si="189">F161+I161+L161+O161+R161+U161+AA161</f>
        <v>26340</v>
      </c>
      <c r="D161" s="16">
        <f t="shared" si="189"/>
        <v>0</v>
      </c>
      <c r="E161" s="16">
        <f>SUM(E162)</f>
        <v>0</v>
      </c>
      <c r="F161" s="16">
        <f>SUM(F162)</f>
        <v>0</v>
      </c>
      <c r="G161" s="16">
        <f t="shared" si="94"/>
        <v>0</v>
      </c>
      <c r="H161" s="16">
        <f t="shared" ref="H161:AA161" si="190">SUM(H162)</f>
        <v>0</v>
      </c>
      <c r="I161" s="16">
        <f t="shared" si="190"/>
        <v>0</v>
      </c>
      <c r="J161" s="16">
        <f t="shared" si="95"/>
        <v>0</v>
      </c>
      <c r="K161" s="16">
        <f t="shared" si="190"/>
        <v>0</v>
      </c>
      <c r="L161" s="16">
        <f t="shared" si="190"/>
        <v>0</v>
      </c>
      <c r="M161" s="16">
        <f t="shared" si="96"/>
        <v>0</v>
      </c>
      <c r="N161" s="16">
        <f t="shared" si="190"/>
        <v>0</v>
      </c>
      <c r="O161" s="16">
        <f t="shared" si="190"/>
        <v>0</v>
      </c>
      <c r="P161" s="16">
        <f t="shared" si="97"/>
        <v>0</v>
      </c>
      <c r="Q161" s="16">
        <f t="shared" si="190"/>
        <v>0</v>
      </c>
      <c r="R161" s="16">
        <f t="shared" si="190"/>
        <v>0</v>
      </c>
      <c r="S161" s="16">
        <f t="shared" si="98"/>
        <v>0</v>
      </c>
      <c r="T161" s="16">
        <f t="shared" si="190"/>
        <v>0</v>
      </c>
      <c r="U161" s="16">
        <f t="shared" si="190"/>
        <v>0</v>
      </c>
      <c r="V161" s="16">
        <f t="shared" si="99"/>
        <v>0</v>
      </c>
      <c r="W161" s="16">
        <f t="shared" si="190"/>
        <v>0</v>
      </c>
      <c r="X161" s="16">
        <f t="shared" si="190"/>
        <v>0</v>
      </c>
      <c r="Y161" s="16">
        <f t="shared" si="100"/>
        <v>0</v>
      </c>
      <c r="Z161" s="16">
        <f t="shared" si="190"/>
        <v>26340</v>
      </c>
      <c r="AA161" s="16">
        <f t="shared" si="190"/>
        <v>26340</v>
      </c>
      <c r="AB161" s="16">
        <f t="shared" si="101"/>
        <v>0</v>
      </c>
    </row>
    <row r="162" spans="1:189" s="17" customFormat="1" ht="31.5" x14ac:dyDescent="0.25">
      <c r="A162" s="22" t="s">
        <v>115</v>
      </c>
      <c r="B162" s="23">
        <f t="shared" si="92"/>
        <v>26340</v>
      </c>
      <c r="C162" s="23">
        <f t="shared" si="189"/>
        <v>26340</v>
      </c>
      <c r="D162" s="23">
        <f t="shared" si="189"/>
        <v>0</v>
      </c>
      <c r="E162" s="23"/>
      <c r="F162" s="23"/>
      <c r="G162" s="23">
        <f t="shared" si="94"/>
        <v>0</v>
      </c>
      <c r="H162" s="23"/>
      <c r="I162" s="23"/>
      <c r="J162" s="23">
        <f t="shared" si="95"/>
        <v>0</v>
      </c>
      <c r="K162" s="23"/>
      <c r="L162" s="23"/>
      <c r="M162" s="23">
        <f t="shared" si="96"/>
        <v>0</v>
      </c>
      <c r="N162" s="23"/>
      <c r="O162" s="23"/>
      <c r="P162" s="23">
        <f t="shared" si="97"/>
        <v>0</v>
      </c>
      <c r="Q162" s="23"/>
      <c r="R162" s="23"/>
      <c r="S162" s="23">
        <f t="shared" si="98"/>
        <v>0</v>
      </c>
      <c r="T162" s="23"/>
      <c r="U162" s="23"/>
      <c r="V162" s="23">
        <f t="shared" si="99"/>
        <v>0</v>
      </c>
      <c r="W162" s="23"/>
      <c r="X162" s="23"/>
      <c r="Y162" s="23">
        <f t="shared" si="100"/>
        <v>0</v>
      </c>
      <c r="Z162" s="23">
        <v>26340</v>
      </c>
      <c r="AA162" s="23">
        <v>26340</v>
      </c>
      <c r="AB162" s="23">
        <f t="shared" si="101"/>
        <v>0</v>
      </c>
    </row>
    <row r="163" spans="1:189" s="17" customFormat="1" x14ac:dyDescent="0.25">
      <c r="A163" s="21" t="s">
        <v>18</v>
      </c>
      <c r="B163" s="18">
        <f t="shared" si="92"/>
        <v>325601</v>
      </c>
      <c r="C163" s="18">
        <f t="shared" si="189"/>
        <v>326742</v>
      </c>
      <c r="D163" s="18">
        <f t="shared" si="189"/>
        <v>1141</v>
      </c>
      <c r="E163" s="18">
        <f>SUM(E164,E167)</f>
        <v>0</v>
      </c>
      <c r="F163" s="18">
        <f>SUM(F164,F167)</f>
        <v>0</v>
      </c>
      <c r="G163" s="18">
        <f t="shared" si="94"/>
        <v>0</v>
      </c>
      <c r="H163" s="18">
        <f t="shared" ref="H163:Z163" si="191">SUM(H164,H167)</f>
        <v>0</v>
      </c>
      <c r="I163" s="18">
        <f t="shared" ref="I163" si="192">SUM(I164,I167)</f>
        <v>0</v>
      </c>
      <c r="J163" s="18">
        <f t="shared" si="95"/>
        <v>0</v>
      </c>
      <c r="K163" s="18">
        <f t="shared" si="191"/>
        <v>47000</v>
      </c>
      <c r="L163" s="18">
        <f t="shared" ref="L163" si="193">SUM(L164,L167)</f>
        <v>47000</v>
      </c>
      <c r="M163" s="18">
        <f t="shared" si="96"/>
        <v>0</v>
      </c>
      <c r="N163" s="18">
        <f t="shared" si="191"/>
        <v>0</v>
      </c>
      <c r="O163" s="18">
        <f t="shared" ref="O163" si="194">SUM(O164,O167)</f>
        <v>0</v>
      </c>
      <c r="P163" s="18">
        <f t="shared" si="97"/>
        <v>0</v>
      </c>
      <c r="Q163" s="18">
        <f t="shared" si="191"/>
        <v>10000</v>
      </c>
      <c r="R163" s="18">
        <f t="shared" ref="R163" si="195">SUM(R164,R167)</f>
        <v>11141</v>
      </c>
      <c r="S163" s="18">
        <f t="shared" si="98"/>
        <v>1141</v>
      </c>
      <c r="T163" s="18">
        <f t="shared" si="191"/>
        <v>268601</v>
      </c>
      <c r="U163" s="18">
        <f t="shared" ref="U163" si="196">SUM(U164,U167)</f>
        <v>268601</v>
      </c>
      <c r="V163" s="18">
        <f t="shared" si="99"/>
        <v>0</v>
      </c>
      <c r="W163" s="18">
        <f t="shared" ref="W163" si="197">SUM(W164,W167)</f>
        <v>0</v>
      </c>
      <c r="X163" s="18">
        <f t="shared" ref="X163" si="198">SUM(X164,X167)</f>
        <v>0</v>
      </c>
      <c r="Y163" s="18">
        <f t="shared" si="100"/>
        <v>0</v>
      </c>
      <c r="Z163" s="18">
        <f t="shared" si="191"/>
        <v>0</v>
      </c>
      <c r="AA163" s="18">
        <f t="shared" ref="AA163" si="199">SUM(AA164,AA167)</f>
        <v>0</v>
      </c>
      <c r="AB163" s="18">
        <f t="shared" si="101"/>
        <v>0</v>
      </c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</row>
    <row r="164" spans="1:189" s="17" customFormat="1" ht="31.5" x14ac:dyDescent="0.25">
      <c r="A164" s="15" t="s">
        <v>111</v>
      </c>
      <c r="B164" s="18">
        <f t="shared" si="92"/>
        <v>10000</v>
      </c>
      <c r="C164" s="18">
        <f t="shared" si="189"/>
        <v>11141</v>
      </c>
      <c r="D164" s="18">
        <f t="shared" si="189"/>
        <v>1141</v>
      </c>
      <c r="E164" s="18">
        <f>SUM(E165:E166)</f>
        <v>0</v>
      </c>
      <c r="F164" s="18">
        <f>SUM(F165:F166)</f>
        <v>0</v>
      </c>
      <c r="G164" s="18">
        <f t="shared" si="94"/>
        <v>0</v>
      </c>
      <c r="H164" s="18">
        <f t="shared" ref="H164:I164" si="200">SUM(H165:H166)</f>
        <v>0</v>
      </c>
      <c r="I164" s="18">
        <f t="shared" si="200"/>
        <v>0</v>
      </c>
      <c r="J164" s="18">
        <f t="shared" si="95"/>
        <v>0</v>
      </c>
      <c r="K164" s="18">
        <f t="shared" ref="K164:L164" si="201">SUM(K165:K166)</f>
        <v>0</v>
      </c>
      <c r="L164" s="18">
        <f t="shared" si="201"/>
        <v>0</v>
      </c>
      <c r="M164" s="18">
        <f t="shared" si="96"/>
        <v>0</v>
      </c>
      <c r="N164" s="18">
        <f t="shared" ref="N164:O164" si="202">SUM(N165:N166)</f>
        <v>0</v>
      </c>
      <c r="O164" s="18">
        <f t="shared" si="202"/>
        <v>0</v>
      </c>
      <c r="P164" s="18">
        <f t="shared" si="97"/>
        <v>0</v>
      </c>
      <c r="Q164" s="18">
        <f t="shared" ref="Q164:R164" si="203">SUM(Q165:Q166)</f>
        <v>10000</v>
      </c>
      <c r="R164" s="18">
        <f t="shared" si="203"/>
        <v>11141</v>
      </c>
      <c r="S164" s="18">
        <f t="shared" si="98"/>
        <v>1141</v>
      </c>
      <c r="T164" s="18">
        <f t="shared" ref="T164:U164" si="204">SUM(T165:T166)</f>
        <v>0</v>
      </c>
      <c r="U164" s="18">
        <f t="shared" si="204"/>
        <v>0</v>
      </c>
      <c r="V164" s="18">
        <f t="shared" si="99"/>
        <v>0</v>
      </c>
      <c r="W164" s="18">
        <f t="shared" ref="W164:X164" si="205">SUM(W165:W166)</f>
        <v>0</v>
      </c>
      <c r="X164" s="18">
        <f t="shared" si="205"/>
        <v>0</v>
      </c>
      <c r="Y164" s="18">
        <f t="shared" si="100"/>
        <v>0</v>
      </c>
      <c r="Z164" s="18">
        <f t="shared" ref="Z164:AA164" si="206">SUM(Z165:Z166)</f>
        <v>0</v>
      </c>
      <c r="AA164" s="18">
        <f t="shared" si="206"/>
        <v>0</v>
      </c>
      <c r="AB164" s="18">
        <f t="shared" si="101"/>
        <v>0</v>
      </c>
    </row>
    <row r="165" spans="1:189" s="17" customFormat="1" x14ac:dyDescent="0.25">
      <c r="A165" s="30" t="s">
        <v>116</v>
      </c>
      <c r="B165" s="23">
        <f t="shared" si="92"/>
        <v>10000</v>
      </c>
      <c r="C165" s="23">
        <f t="shared" si="189"/>
        <v>10000</v>
      </c>
      <c r="D165" s="23">
        <f t="shared" si="189"/>
        <v>0</v>
      </c>
      <c r="E165" s="23"/>
      <c r="F165" s="23"/>
      <c r="G165" s="23">
        <f t="shared" si="94"/>
        <v>0</v>
      </c>
      <c r="H165" s="23"/>
      <c r="I165" s="23"/>
      <c r="J165" s="23">
        <f t="shared" si="95"/>
        <v>0</v>
      </c>
      <c r="K165" s="23"/>
      <c r="L165" s="23"/>
      <c r="M165" s="23">
        <f t="shared" si="96"/>
        <v>0</v>
      </c>
      <c r="N165" s="23"/>
      <c r="O165" s="23"/>
      <c r="P165" s="23">
        <f t="shared" si="97"/>
        <v>0</v>
      </c>
      <c r="Q165" s="23">
        <v>10000</v>
      </c>
      <c r="R165" s="23">
        <v>10000</v>
      </c>
      <c r="S165" s="23">
        <f t="shared" si="98"/>
        <v>0</v>
      </c>
      <c r="T165" s="23"/>
      <c r="U165" s="23"/>
      <c r="V165" s="23">
        <f t="shared" si="99"/>
        <v>0</v>
      </c>
      <c r="W165" s="23"/>
      <c r="X165" s="23"/>
      <c r="Y165" s="23">
        <f t="shared" si="100"/>
        <v>0</v>
      </c>
      <c r="Z165" s="23"/>
      <c r="AA165" s="23"/>
      <c r="AB165" s="23">
        <f t="shared" si="101"/>
        <v>0</v>
      </c>
    </row>
    <row r="166" spans="1:189" s="17" customFormat="1" ht="31.5" x14ac:dyDescent="0.25">
      <c r="A166" s="30" t="s">
        <v>255</v>
      </c>
      <c r="B166" s="23">
        <f t="shared" ref="B166" si="207">E166+H166+K166+N166+Q166+T166+Z166</f>
        <v>0</v>
      </c>
      <c r="C166" s="23">
        <f t="shared" ref="C166" si="208">F166+I166+L166+O166+R166+U166+AA166</f>
        <v>1141</v>
      </c>
      <c r="D166" s="23">
        <f t="shared" ref="D166" si="209">G166+J166+M166+P166+S166+V166+AB166</f>
        <v>1141</v>
      </c>
      <c r="E166" s="23"/>
      <c r="F166" s="23"/>
      <c r="G166" s="23">
        <f t="shared" ref="G166" si="210">F166-E166</f>
        <v>0</v>
      </c>
      <c r="H166" s="23"/>
      <c r="I166" s="23"/>
      <c r="J166" s="23">
        <f t="shared" ref="J166" si="211">I166-H166</f>
        <v>0</v>
      </c>
      <c r="K166" s="23"/>
      <c r="L166" s="23"/>
      <c r="M166" s="23">
        <f t="shared" ref="M166" si="212">L166-K166</f>
        <v>0</v>
      </c>
      <c r="N166" s="23"/>
      <c r="O166" s="23"/>
      <c r="P166" s="23">
        <f t="shared" ref="P166" si="213">O166-N166</f>
        <v>0</v>
      </c>
      <c r="Q166" s="23">
        <v>0</v>
      </c>
      <c r="R166" s="23">
        <v>1141</v>
      </c>
      <c r="S166" s="23">
        <f t="shared" ref="S166" si="214">R166-Q166</f>
        <v>1141</v>
      </c>
      <c r="T166" s="23"/>
      <c r="U166" s="23"/>
      <c r="V166" s="23">
        <f t="shared" ref="V166" si="215">U166-T166</f>
        <v>0</v>
      </c>
      <c r="W166" s="23"/>
      <c r="X166" s="23"/>
      <c r="Y166" s="23">
        <f t="shared" ref="Y166" si="216">X166-W166</f>
        <v>0</v>
      </c>
      <c r="Z166" s="23"/>
      <c r="AA166" s="23"/>
      <c r="AB166" s="23">
        <f t="shared" ref="AB166" si="217">AA166-Z166</f>
        <v>0</v>
      </c>
    </row>
    <row r="167" spans="1:189" s="17" customFormat="1" x14ac:dyDescent="0.25">
      <c r="A167" s="15" t="s">
        <v>117</v>
      </c>
      <c r="B167" s="16">
        <f t="shared" si="92"/>
        <v>315601</v>
      </c>
      <c r="C167" s="16">
        <f t="shared" si="189"/>
        <v>315601</v>
      </c>
      <c r="D167" s="16">
        <f t="shared" si="189"/>
        <v>0</v>
      </c>
      <c r="E167" s="16">
        <f t="shared" ref="E167:Z167" si="218">SUM(E168:E171)</f>
        <v>0</v>
      </c>
      <c r="F167" s="16">
        <f t="shared" ref="F167" si="219">SUM(F168:F171)</f>
        <v>0</v>
      </c>
      <c r="G167" s="16">
        <f t="shared" si="94"/>
        <v>0</v>
      </c>
      <c r="H167" s="16">
        <f t="shared" si="218"/>
        <v>0</v>
      </c>
      <c r="I167" s="16">
        <f t="shared" ref="I167" si="220">SUM(I168:I171)</f>
        <v>0</v>
      </c>
      <c r="J167" s="16">
        <f t="shared" si="95"/>
        <v>0</v>
      </c>
      <c r="K167" s="16">
        <f t="shared" si="218"/>
        <v>47000</v>
      </c>
      <c r="L167" s="16">
        <f t="shared" ref="L167" si="221">SUM(L168:L171)</f>
        <v>47000</v>
      </c>
      <c r="M167" s="16">
        <f t="shared" si="96"/>
        <v>0</v>
      </c>
      <c r="N167" s="16">
        <f t="shared" si="218"/>
        <v>0</v>
      </c>
      <c r="O167" s="16">
        <f t="shared" ref="O167" si="222">SUM(O168:O171)</f>
        <v>0</v>
      </c>
      <c r="P167" s="16">
        <f t="shared" si="97"/>
        <v>0</v>
      </c>
      <c r="Q167" s="16">
        <f t="shared" si="218"/>
        <v>0</v>
      </c>
      <c r="R167" s="16">
        <f t="shared" ref="R167" si="223">SUM(R168:R171)</f>
        <v>0</v>
      </c>
      <c r="S167" s="16">
        <f t="shared" si="98"/>
        <v>0</v>
      </c>
      <c r="T167" s="16">
        <f t="shared" si="218"/>
        <v>268601</v>
      </c>
      <c r="U167" s="16">
        <f t="shared" ref="U167" si="224">SUM(U168:U171)</f>
        <v>268601</v>
      </c>
      <c r="V167" s="16">
        <f t="shared" si="99"/>
        <v>0</v>
      </c>
      <c r="W167" s="16">
        <f t="shared" ref="W167" si="225">SUM(W168:W171)</f>
        <v>0</v>
      </c>
      <c r="X167" s="16">
        <f t="shared" ref="X167" si="226">SUM(X168:X171)</f>
        <v>0</v>
      </c>
      <c r="Y167" s="16">
        <f t="shared" si="100"/>
        <v>0</v>
      </c>
      <c r="Z167" s="16">
        <f t="shared" si="218"/>
        <v>0</v>
      </c>
      <c r="AA167" s="16">
        <f t="shared" ref="AA167" si="227">SUM(AA168:AA171)</f>
        <v>0</v>
      </c>
      <c r="AB167" s="16">
        <f t="shared" si="101"/>
        <v>0</v>
      </c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</row>
    <row r="168" spans="1:189" s="17" customFormat="1" ht="63" x14ac:dyDescent="0.25">
      <c r="A168" s="22" t="s">
        <v>118</v>
      </c>
      <c r="B168" s="23">
        <f t="shared" si="92"/>
        <v>47000</v>
      </c>
      <c r="C168" s="23">
        <f t="shared" si="189"/>
        <v>47000</v>
      </c>
      <c r="D168" s="23">
        <f t="shared" si="189"/>
        <v>0</v>
      </c>
      <c r="E168" s="23"/>
      <c r="F168" s="23"/>
      <c r="G168" s="23">
        <f t="shared" si="94"/>
        <v>0</v>
      </c>
      <c r="H168" s="23"/>
      <c r="I168" s="23"/>
      <c r="J168" s="23">
        <f t="shared" si="95"/>
        <v>0</v>
      </c>
      <c r="K168" s="23">
        <v>47000</v>
      </c>
      <c r="L168" s="23">
        <v>47000</v>
      </c>
      <c r="M168" s="23">
        <f t="shared" si="96"/>
        <v>0</v>
      </c>
      <c r="N168" s="23"/>
      <c r="O168" s="23"/>
      <c r="P168" s="23">
        <f t="shared" si="97"/>
        <v>0</v>
      </c>
      <c r="Q168" s="23"/>
      <c r="R168" s="23"/>
      <c r="S168" s="23">
        <f t="shared" si="98"/>
        <v>0</v>
      </c>
      <c r="T168" s="23"/>
      <c r="U168" s="23"/>
      <c r="V168" s="23">
        <f t="shared" si="99"/>
        <v>0</v>
      </c>
      <c r="W168" s="23"/>
      <c r="X168" s="23"/>
      <c r="Y168" s="23">
        <f t="shared" si="100"/>
        <v>0</v>
      </c>
      <c r="Z168" s="23"/>
      <c r="AA168" s="23"/>
      <c r="AB168" s="23">
        <f t="shared" si="101"/>
        <v>0</v>
      </c>
    </row>
    <row r="169" spans="1:189" s="17" customFormat="1" ht="78.75" x14ac:dyDescent="0.25">
      <c r="A169" s="22" t="s">
        <v>119</v>
      </c>
      <c r="B169" s="23">
        <f t="shared" si="92"/>
        <v>184253</v>
      </c>
      <c r="C169" s="23">
        <f t="shared" si="189"/>
        <v>184253</v>
      </c>
      <c r="D169" s="23">
        <f t="shared" si="189"/>
        <v>0</v>
      </c>
      <c r="E169" s="23"/>
      <c r="F169" s="23"/>
      <c r="G169" s="23">
        <f t="shared" si="94"/>
        <v>0</v>
      </c>
      <c r="H169" s="23"/>
      <c r="I169" s="23"/>
      <c r="J169" s="23">
        <f t="shared" si="95"/>
        <v>0</v>
      </c>
      <c r="K169" s="23"/>
      <c r="L169" s="23"/>
      <c r="M169" s="23">
        <f t="shared" si="96"/>
        <v>0</v>
      </c>
      <c r="N169" s="23"/>
      <c r="O169" s="23"/>
      <c r="P169" s="23">
        <f t="shared" si="97"/>
        <v>0</v>
      </c>
      <c r="Q169" s="23"/>
      <c r="R169" s="23"/>
      <c r="S169" s="23">
        <f t="shared" si="98"/>
        <v>0</v>
      </c>
      <c r="T169" s="23">
        <v>184253</v>
      </c>
      <c r="U169" s="23">
        <v>184253</v>
      </c>
      <c r="V169" s="23">
        <f t="shared" si="99"/>
        <v>0</v>
      </c>
      <c r="W169" s="23"/>
      <c r="X169" s="23"/>
      <c r="Y169" s="23">
        <f t="shared" si="100"/>
        <v>0</v>
      </c>
      <c r="Z169" s="23"/>
      <c r="AA169" s="23"/>
      <c r="AB169" s="23">
        <f t="shared" si="101"/>
        <v>0</v>
      </c>
    </row>
    <row r="170" spans="1:189" s="17" customFormat="1" ht="31.5" x14ac:dyDescent="0.25">
      <c r="A170" s="22" t="s">
        <v>120</v>
      </c>
      <c r="B170" s="23">
        <f t="shared" si="92"/>
        <v>11886</v>
      </c>
      <c r="C170" s="23">
        <f t="shared" si="189"/>
        <v>11886</v>
      </c>
      <c r="D170" s="23">
        <f t="shared" si="189"/>
        <v>0</v>
      </c>
      <c r="E170" s="23"/>
      <c r="F170" s="23"/>
      <c r="G170" s="23">
        <f t="shared" si="94"/>
        <v>0</v>
      </c>
      <c r="H170" s="23"/>
      <c r="I170" s="23"/>
      <c r="J170" s="23">
        <f t="shared" si="95"/>
        <v>0</v>
      </c>
      <c r="K170" s="23"/>
      <c r="L170" s="23"/>
      <c r="M170" s="23">
        <f t="shared" si="96"/>
        <v>0</v>
      </c>
      <c r="N170" s="23"/>
      <c r="O170" s="23"/>
      <c r="P170" s="23">
        <f t="shared" si="97"/>
        <v>0</v>
      </c>
      <c r="Q170" s="23"/>
      <c r="R170" s="23"/>
      <c r="S170" s="23">
        <f t="shared" si="98"/>
        <v>0</v>
      </c>
      <c r="T170" s="23">
        <v>11886</v>
      </c>
      <c r="U170" s="23">
        <v>11886</v>
      </c>
      <c r="V170" s="23">
        <f t="shared" si="99"/>
        <v>0</v>
      </c>
      <c r="W170" s="23"/>
      <c r="X170" s="23"/>
      <c r="Y170" s="23">
        <f t="shared" si="100"/>
        <v>0</v>
      </c>
      <c r="Z170" s="23"/>
      <c r="AA170" s="23"/>
      <c r="AB170" s="23">
        <f t="shared" si="101"/>
        <v>0</v>
      </c>
    </row>
    <row r="171" spans="1:189" s="17" customFormat="1" ht="31.5" x14ac:dyDescent="0.25">
      <c r="A171" s="22" t="s">
        <v>121</v>
      </c>
      <c r="B171" s="23">
        <f t="shared" si="92"/>
        <v>72462</v>
      </c>
      <c r="C171" s="23">
        <f t="shared" si="189"/>
        <v>72462</v>
      </c>
      <c r="D171" s="23">
        <f t="shared" si="189"/>
        <v>0</v>
      </c>
      <c r="E171" s="23"/>
      <c r="F171" s="23"/>
      <c r="G171" s="23">
        <f t="shared" si="94"/>
        <v>0</v>
      </c>
      <c r="H171" s="23"/>
      <c r="I171" s="23"/>
      <c r="J171" s="23">
        <f t="shared" si="95"/>
        <v>0</v>
      </c>
      <c r="K171" s="23">
        <v>0</v>
      </c>
      <c r="L171" s="23">
        <v>0</v>
      </c>
      <c r="M171" s="23">
        <f t="shared" si="96"/>
        <v>0</v>
      </c>
      <c r="N171" s="23"/>
      <c r="O171" s="23"/>
      <c r="P171" s="23">
        <f t="shared" si="97"/>
        <v>0</v>
      </c>
      <c r="Q171" s="23"/>
      <c r="R171" s="23"/>
      <c r="S171" s="23">
        <f t="shared" si="98"/>
        <v>0</v>
      </c>
      <c r="T171" s="23">
        <v>72462</v>
      </c>
      <c r="U171" s="23">
        <v>72462</v>
      </c>
      <c r="V171" s="23">
        <f t="shared" si="99"/>
        <v>0</v>
      </c>
      <c r="W171" s="23"/>
      <c r="X171" s="23"/>
      <c r="Y171" s="23">
        <f t="shared" si="100"/>
        <v>0</v>
      </c>
      <c r="Z171" s="23"/>
      <c r="AA171" s="23"/>
      <c r="AB171" s="23">
        <f t="shared" si="101"/>
        <v>0</v>
      </c>
    </row>
    <row r="172" spans="1:189" s="17" customFormat="1" x14ac:dyDescent="0.25">
      <c r="A172" s="15" t="s">
        <v>32</v>
      </c>
      <c r="B172" s="16">
        <f t="shared" si="92"/>
        <v>4598272</v>
      </c>
      <c r="C172" s="16">
        <f t="shared" si="189"/>
        <v>4662226</v>
      </c>
      <c r="D172" s="16">
        <f t="shared" si="189"/>
        <v>63954</v>
      </c>
      <c r="E172" s="16">
        <f>SUM(E173,E185,E191,E181)</f>
        <v>200000</v>
      </c>
      <c r="F172" s="16">
        <f>SUM(F173,F185,F191,F181)</f>
        <v>200000</v>
      </c>
      <c r="G172" s="16">
        <f t="shared" si="94"/>
        <v>0</v>
      </c>
      <c r="H172" s="16">
        <f t="shared" ref="H172:Z172" si="228">SUM(H173,H185,H191,H181)</f>
        <v>0</v>
      </c>
      <c r="I172" s="16">
        <f t="shared" ref="I172" si="229">SUM(I173,I185,I191,I181)</f>
        <v>0</v>
      </c>
      <c r="J172" s="16">
        <f t="shared" si="95"/>
        <v>0</v>
      </c>
      <c r="K172" s="16">
        <f t="shared" si="228"/>
        <v>44796</v>
      </c>
      <c r="L172" s="16">
        <f t="shared" ref="L172" si="230">SUM(L173,L185,L191,L181)</f>
        <v>72670</v>
      </c>
      <c r="M172" s="16">
        <f t="shared" si="96"/>
        <v>27874</v>
      </c>
      <c r="N172" s="16">
        <f t="shared" si="228"/>
        <v>0</v>
      </c>
      <c r="O172" s="16">
        <f t="shared" ref="O172" si="231">SUM(O173,O185,O191,O181)</f>
        <v>1663</v>
      </c>
      <c r="P172" s="16">
        <f t="shared" si="97"/>
        <v>1663</v>
      </c>
      <c r="Q172" s="16">
        <f t="shared" si="228"/>
        <v>191668</v>
      </c>
      <c r="R172" s="16">
        <f t="shared" ref="R172" si="232">SUM(R173,R185,R191,R181)</f>
        <v>226085</v>
      </c>
      <c r="S172" s="16">
        <f t="shared" si="98"/>
        <v>34417</v>
      </c>
      <c r="T172" s="16">
        <f t="shared" si="228"/>
        <v>390208</v>
      </c>
      <c r="U172" s="16">
        <f t="shared" ref="U172" si="233">SUM(U173,U185,U191,U181)</f>
        <v>390208</v>
      </c>
      <c r="V172" s="16">
        <f t="shared" si="99"/>
        <v>0</v>
      </c>
      <c r="W172" s="16">
        <f t="shared" ref="W172" si="234">SUM(W173,W185,W191,W181)</f>
        <v>0</v>
      </c>
      <c r="X172" s="16">
        <f t="shared" ref="X172" si="235">SUM(X173,X185,X191,X181)</f>
        <v>0</v>
      </c>
      <c r="Y172" s="16">
        <f t="shared" si="100"/>
        <v>0</v>
      </c>
      <c r="Z172" s="16">
        <f t="shared" si="228"/>
        <v>3771600</v>
      </c>
      <c r="AA172" s="16">
        <f t="shared" ref="AA172" si="236">SUM(AA173,AA185,AA191,AA181)</f>
        <v>3771600</v>
      </c>
      <c r="AB172" s="16">
        <f t="shared" si="101"/>
        <v>0</v>
      </c>
    </row>
    <row r="173" spans="1:189" s="17" customFormat="1" x14ac:dyDescent="0.25">
      <c r="A173" s="15" t="s">
        <v>105</v>
      </c>
      <c r="B173" s="16">
        <f t="shared" si="92"/>
        <v>61016</v>
      </c>
      <c r="C173" s="16">
        <f t="shared" si="189"/>
        <v>241566</v>
      </c>
      <c r="D173" s="16">
        <f t="shared" si="189"/>
        <v>180550</v>
      </c>
      <c r="E173" s="16">
        <f t="shared" ref="E173:Z173" si="237">SUM(E174:E180)</f>
        <v>0</v>
      </c>
      <c r="F173" s="16">
        <f t="shared" ref="F173" si="238">SUM(F174:F180)</f>
        <v>0</v>
      </c>
      <c r="G173" s="16">
        <f t="shared" si="94"/>
        <v>0</v>
      </c>
      <c r="H173" s="16">
        <f t="shared" si="237"/>
        <v>0</v>
      </c>
      <c r="I173" s="16">
        <f t="shared" ref="I173" si="239">SUM(I174:I180)</f>
        <v>0</v>
      </c>
      <c r="J173" s="16">
        <f t="shared" si="95"/>
        <v>0</v>
      </c>
      <c r="K173" s="16">
        <f t="shared" si="237"/>
        <v>0</v>
      </c>
      <c r="L173" s="16">
        <f t="shared" ref="L173" si="240">SUM(L174:L180)</f>
        <v>20359</v>
      </c>
      <c r="M173" s="16">
        <f t="shared" si="96"/>
        <v>20359</v>
      </c>
      <c r="N173" s="16">
        <f t="shared" si="237"/>
        <v>0</v>
      </c>
      <c r="O173" s="16">
        <f t="shared" ref="O173" si="241">SUM(O174:O180)</f>
        <v>0</v>
      </c>
      <c r="P173" s="16">
        <f t="shared" si="97"/>
        <v>0</v>
      </c>
      <c r="Q173" s="16">
        <f t="shared" si="237"/>
        <v>35000</v>
      </c>
      <c r="R173" s="16">
        <f t="shared" ref="R173" si="242">SUM(R174:R180)</f>
        <v>195191</v>
      </c>
      <c r="S173" s="16">
        <f t="shared" si="98"/>
        <v>160191</v>
      </c>
      <c r="T173" s="16">
        <f t="shared" si="237"/>
        <v>26016</v>
      </c>
      <c r="U173" s="16">
        <f t="shared" ref="U173" si="243">SUM(U174:U180)</f>
        <v>26016</v>
      </c>
      <c r="V173" s="16">
        <f t="shared" si="99"/>
        <v>0</v>
      </c>
      <c r="W173" s="16">
        <f t="shared" ref="W173" si="244">SUM(W174:W180)</f>
        <v>0</v>
      </c>
      <c r="X173" s="16">
        <f t="shared" ref="X173" si="245">SUM(X174:X180)</f>
        <v>0</v>
      </c>
      <c r="Y173" s="16">
        <f t="shared" si="100"/>
        <v>0</v>
      </c>
      <c r="Z173" s="16">
        <f t="shared" si="237"/>
        <v>0</v>
      </c>
      <c r="AA173" s="16">
        <f t="shared" ref="AA173" si="246">SUM(AA174:AA180)</f>
        <v>0</v>
      </c>
      <c r="AB173" s="16">
        <f t="shared" si="101"/>
        <v>0</v>
      </c>
    </row>
    <row r="174" spans="1:189" s="14" customFormat="1" ht="47.25" x14ac:dyDescent="0.25">
      <c r="A174" s="22" t="s">
        <v>122</v>
      </c>
      <c r="B174" s="23">
        <f t="shared" si="92"/>
        <v>26016</v>
      </c>
      <c r="C174" s="23">
        <f t="shared" si="189"/>
        <v>26016</v>
      </c>
      <c r="D174" s="23">
        <f t="shared" si="189"/>
        <v>0</v>
      </c>
      <c r="E174" s="23"/>
      <c r="F174" s="23"/>
      <c r="G174" s="23">
        <f t="shared" si="94"/>
        <v>0</v>
      </c>
      <c r="H174" s="23"/>
      <c r="I174" s="23"/>
      <c r="J174" s="23">
        <f t="shared" si="95"/>
        <v>0</v>
      </c>
      <c r="K174" s="23"/>
      <c r="L174" s="23"/>
      <c r="M174" s="23">
        <f t="shared" si="96"/>
        <v>0</v>
      </c>
      <c r="N174" s="23"/>
      <c r="O174" s="23"/>
      <c r="P174" s="23">
        <f t="shared" si="97"/>
        <v>0</v>
      </c>
      <c r="Q174" s="23"/>
      <c r="R174" s="23"/>
      <c r="S174" s="23">
        <f t="shared" si="98"/>
        <v>0</v>
      </c>
      <c r="T174" s="23">
        <f>26016</f>
        <v>26016</v>
      </c>
      <c r="U174" s="23">
        <f>26016</f>
        <v>26016</v>
      </c>
      <c r="V174" s="23">
        <f t="shared" si="99"/>
        <v>0</v>
      </c>
      <c r="W174" s="23"/>
      <c r="X174" s="23"/>
      <c r="Y174" s="23">
        <f t="shared" si="100"/>
        <v>0</v>
      </c>
      <c r="Z174" s="23"/>
      <c r="AA174" s="23"/>
      <c r="AB174" s="23">
        <f t="shared" si="101"/>
        <v>0</v>
      </c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  <c r="FK174" s="17"/>
      <c r="FL174" s="17"/>
      <c r="FM174" s="17"/>
      <c r="FN174" s="17"/>
      <c r="FO174" s="17"/>
      <c r="FP174" s="17"/>
      <c r="FQ174" s="17"/>
      <c r="FR174" s="17"/>
      <c r="FS174" s="17"/>
      <c r="FT174" s="17"/>
      <c r="FU174" s="17"/>
      <c r="FV174" s="17"/>
      <c r="FW174" s="17"/>
      <c r="FX174" s="17"/>
      <c r="FY174" s="17"/>
      <c r="FZ174" s="17"/>
      <c r="GA174" s="17"/>
      <c r="GB174" s="17"/>
      <c r="GC174" s="17"/>
      <c r="GD174" s="17"/>
      <c r="GE174" s="17"/>
      <c r="GF174" s="17"/>
      <c r="GG174" s="17"/>
    </row>
    <row r="175" spans="1:189" s="14" customFormat="1" ht="31.5" x14ac:dyDescent="0.25">
      <c r="A175" s="22" t="s">
        <v>257</v>
      </c>
      <c r="B175" s="23">
        <f t="shared" ref="B175" si="247">E175+H175+K175+N175+Q175+T175+Z175</f>
        <v>0</v>
      </c>
      <c r="C175" s="23">
        <f t="shared" si="189"/>
        <v>18988</v>
      </c>
      <c r="D175" s="23">
        <f t="shared" si="189"/>
        <v>18988</v>
      </c>
      <c r="E175" s="23"/>
      <c r="F175" s="23"/>
      <c r="G175" s="23">
        <f t="shared" si="94"/>
        <v>0</v>
      </c>
      <c r="H175" s="23"/>
      <c r="I175" s="23"/>
      <c r="J175" s="23">
        <f t="shared" si="95"/>
        <v>0</v>
      </c>
      <c r="K175" s="23"/>
      <c r="L175" s="23">
        <f>8340+9240+1408</f>
        <v>18988</v>
      </c>
      <c r="M175" s="23">
        <f t="shared" si="96"/>
        <v>18988</v>
      </c>
      <c r="N175" s="23"/>
      <c r="O175" s="23"/>
      <c r="P175" s="23">
        <f t="shared" si="97"/>
        <v>0</v>
      </c>
      <c r="Q175" s="23"/>
      <c r="R175" s="23"/>
      <c r="S175" s="23">
        <f t="shared" si="98"/>
        <v>0</v>
      </c>
      <c r="T175" s="23"/>
      <c r="U175" s="23"/>
      <c r="V175" s="23">
        <f t="shared" si="99"/>
        <v>0</v>
      </c>
      <c r="W175" s="23"/>
      <c r="X175" s="23"/>
      <c r="Y175" s="23">
        <f t="shared" si="100"/>
        <v>0</v>
      </c>
      <c r="Z175" s="23"/>
      <c r="AA175" s="23"/>
      <c r="AB175" s="23">
        <f t="shared" si="101"/>
        <v>0</v>
      </c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17"/>
      <c r="FA175" s="17"/>
      <c r="FB175" s="17"/>
      <c r="FC175" s="17"/>
      <c r="FD175" s="17"/>
      <c r="FE175" s="17"/>
      <c r="FF175" s="17"/>
      <c r="FG175" s="17"/>
      <c r="FH175" s="17"/>
      <c r="FI175" s="17"/>
      <c r="FJ175" s="17"/>
      <c r="FK175" s="17"/>
      <c r="FL175" s="17"/>
      <c r="FM175" s="17"/>
      <c r="FN175" s="17"/>
      <c r="FO175" s="17"/>
      <c r="FP175" s="17"/>
      <c r="FQ175" s="17"/>
      <c r="FR175" s="17"/>
      <c r="FS175" s="17"/>
      <c r="FT175" s="17"/>
      <c r="FU175" s="17"/>
      <c r="FV175" s="17"/>
      <c r="FW175" s="17"/>
      <c r="FX175" s="17"/>
      <c r="FY175" s="17"/>
      <c r="FZ175" s="17"/>
      <c r="GA175" s="17"/>
      <c r="GB175" s="17"/>
      <c r="GC175" s="17"/>
      <c r="GD175" s="17"/>
      <c r="GE175" s="17"/>
      <c r="GF175" s="17"/>
      <c r="GG175" s="17"/>
    </row>
    <row r="176" spans="1:189" s="14" customFormat="1" ht="31.5" x14ac:dyDescent="0.25">
      <c r="A176" s="22" t="s">
        <v>262</v>
      </c>
      <c r="B176" s="23">
        <f t="shared" ref="B176" si="248">E176+H176+K176+N176+Q176+T176+Z176</f>
        <v>0</v>
      </c>
      <c r="C176" s="23">
        <f t="shared" ref="C176" si="249">F176+I176+L176+O176+R176+U176+AA176</f>
        <v>5211</v>
      </c>
      <c r="D176" s="23">
        <f t="shared" ref="D176" si="250">G176+J176+M176+P176+S176+V176+AB176</f>
        <v>5211</v>
      </c>
      <c r="E176" s="23"/>
      <c r="F176" s="23"/>
      <c r="G176" s="23">
        <f t="shared" ref="G176" si="251">F176-E176</f>
        <v>0</v>
      </c>
      <c r="H176" s="23"/>
      <c r="I176" s="23"/>
      <c r="J176" s="23">
        <f t="shared" ref="J176" si="252">I176-H176</f>
        <v>0</v>
      </c>
      <c r="K176" s="23"/>
      <c r="L176" s="23">
        <v>1371</v>
      </c>
      <c r="M176" s="23">
        <f t="shared" ref="M176" si="253">L176-K176</f>
        <v>1371</v>
      </c>
      <c r="N176" s="23"/>
      <c r="O176" s="23"/>
      <c r="P176" s="23">
        <f t="shared" ref="P176" si="254">O176-N176</f>
        <v>0</v>
      </c>
      <c r="Q176" s="23"/>
      <c r="R176" s="23">
        <v>3840</v>
      </c>
      <c r="S176" s="23">
        <f t="shared" ref="S176" si="255">R176-Q176</f>
        <v>3840</v>
      </c>
      <c r="T176" s="23"/>
      <c r="U176" s="23"/>
      <c r="V176" s="23">
        <f t="shared" ref="V176" si="256">U176-T176</f>
        <v>0</v>
      </c>
      <c r="W176" s="23"/>
      <c r="X176" s="23"/>
      <c r="Y176" s="23">
        <f t="shared" ref="Y176" si="257">X176-W176</f>
        <v>0</v>
      </c>
      <c r="Z176" s="23"/>
      <c r="AA176" s="23"/>
      <c r="AB176" s="23">
        <f t="shared" ref="AB176" si="258">AA176-Z176</f>
        <v>0</v>
      </c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  <c r="FB176" s="17"/>
      <c r="FC176" s="17"/>
      <c r="FD176" s="17"/>
      <c r="FE176" s="17"/>
      <c r="FF176" s="17"/>
      <c r="FG176" s="17"/>
      <c r="FH176" s="17"/>
      <c r="FI176" s="17"/>
      <c r="FJ176" s="17"/>
      <c r="FK176" s="17"/>
      <c r="FL176" s="17"/>
      <c r="FM176" s="17"/>
      <c r="FN176" s="17"/>
      <c r="FO176" s="17"/>
      <c r="FP176" s="17"/>
      <c r="FQ176" s="17"/>
      <c r="FR176" s="17"/>
      <c r="FS176" s="17"/>
      <c r="FT176" s="17"/>
      <c r="FU176" s="17"/>
      <c r="FV176" s="17"/>
      <c r="FW176" s="17"/>
      <c r="FX176" s="17"/>
      <c r="FY176" s="17"/>
      <c r="FZ176" s="17"/>
      <c r="GA176" s="17"/>
      <c r="GB176" s="17"/>
      <c r="GC176" s="17"/>
      <c r="GD176" s="17"/>
      <c r="GE176" s="17"/>
      <c r="GF176" s="17"/>
      <c r="GG176" s="17"/>
    </row>
    <row r="177" spans="1:189" s="14" customFormat="1" x14ac:dyDescent="0.25">
      <c r="A177" s="22" t="s">
        <v>258</v>
      </c>
      <c r="B177" s="23">
        <f t="shared" si="92"/>
        <v>0</v>
      </c>
      <c r="C177" s="23">
        <f t="shared" ref="C177:C178" si="259">F177+I177+L177+O177+R177+U177+AA177</f>
        <v>2600</v>
      </c>
      <c r="D177" s="23">
        <f t="shared" ref="D177:D178" si="260">G177+J177+M177+P177+S177+V177+AB177</f>
        <v>2600</v>
      </c>
      <c r="E177" s="23"/>
      <c r="F177" s="23"/>
      <c r="G177" s="23">
        <f t="shared" ref="G177:G178" si="261">F177-E177</f>
        <v>0</v>
      </c>
      <c r="H177" s="23"/>
      <c r="I177" s="23"/>
      <c r="J177" s="23">
        <f t="shared" ref="J177:J178" si="262">I177-H177</f>
        <v>0</v>
      </c>
      <c r="K177" s="23"/>
      <c r="L177" s="23"/>
      <c r="M177" s="23">
        <f t="shared" ref="M177:M178" si="263">L177-K177</f>
        <v>0</v>
      </c>
      <c r="N177" s="23"/>
      <c r="O177" s="23"/>
      <c r="P177" s="23">
        <f t="shared" ref="P177:P178" si="264">O177-N177</f>
        <v>0</v>
      </c>
      <c r="Q177" s="23"/>
      <c r="R177" s="23">
        <v>2600</v>
      </c>
      <c r="S177" s="23">
        <f t="shared" ref="S177:S178" si="265">R177-Q177</f>
        <v>2600</v>
      </c>
      <c r="T177" s="23"/>
      <c r="U177" s="23"/>
      <c r="V177" s="23">
        <f t="shared" ref="V177:V178" si="266">U177-T177</f>
        <v>0</v>
      </c>
      <c r="W177" s="23"/>
      <c r="X177" s="23"/>
      <c r="Y177" s="23">
        <f t="shared" ref="Y177:Y178" si="267">X177-W177</f>
        <v>0</v>
      </c>
      <c r="Z177" s="23"/>
      <c r="AA177" s="23"/>
      <c r="AB177" s="23">
        <f t="shared" ref="AB177:AB178" si="268">AA177-Z177</f>
        <v>0</v>
      </c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  <c r="FK177" s="17"/>
      <c r="FL177" s="17"/>
      <c r="FM177" s="17"/>
      <c r="FN177" s="17"/>
      <c r="FO177" s="17"/>
      <c r="FP177" s="17"/>
      <c r="FQ177" s="17"/>
      <c r="FR177" s="17"/>
      <c r="FS177" s="17"/>
      <c r="FT177" s="17"/>
      <c r="FU177" s="17"/>
      <c r="FV177" s="17"/>
      <c r="FW177" s="17"/>
      <c r="FX177" s="17"/>
      <c r="FY177" s="17"/>
      <c r="FZ177" s="17"/>
      <c r="GA177" s="17"/>
      <c r="GB177" s="17"/>
      <c r="GC177" s="17"/>
      <c r="GD177" s="17"/>
      <c r="GE177" s="17"/>
      <c r="GF177" s="17"/>
      <c r="GG177" s="17"/>
    </row>
    <row r="178" spans="1:189" s="14" customFormat="1" ht="31.5" x14ac:dyDescent="0.25">
      <c r="A178" s="22" t="s">
        <v>260</v>
      </c>
      <c r="B178" s="23">
        <f t="shared" ref="B178" si="269">E178+H178+K178+N178+Q178+T178+Z178</f>
        <v>0</v>
      </c>
      <c r="C178" s="23">
        <f t="shared" si="259"/>
        <v>21490</v>
      </c>
      <c r="D178" s="23">
        <f t="shared" si="260"/>
        <v>21490</v>
      </c>
      <c r="E178" s="23"/>
      <c r="F178" s="23"/>
      <c r="G178" s="23">
        <f t="shared" si="261"/>
        <v>0</v>
      </c>
      <c r="H178" s="23"/>
      <c r="I178" s="23"/>
      <c r="J178" s="23">
        <f t="shared" si="262"/>
        <v>0</v>
      </c>
      <c r="K178" s="23"/>
      <c r="L178" s="23"/>
      <c r="M178" s="23">
        <f t="shared" si="263"/>
        <v>0</v>
      </c>
      <c r="N178" s="23"/>
      <c r="O178" s="23"/>
      <c r="P178" s="23">
        <f t="shared" si="264"/>
        <v>0</v>
      </c>
      <c r="Q178" s="23"/>
      <c r="R178" s="23">
        <v>21490</v>
      </c>
      <c r="S178" s="23">
        <f t="shared" si="265"/>
        <v>21490</v>
      </c>
      <c r="T178" s="23"/>
      <c r="U178" s="23"/>
      <c r="V178" s="23">
        <f t="shared" si="266"/>
        <v>0</v>
      </c>
      <c r="W178" s="23"/>
      <c r="X178" s="23"/>
      <c r="Y178" s="23">
        <f t="shared" si="267"/>
        <v>0</v>
      </c>
      <c r="Z178" s="23"/>
      <c r="AA178" s="23"/>
      <c r="AB178" s="23">
        <f t="shared" si="268"/>
        <v>0</v>
      </c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  <c r="FB178" s="17"/>
      <c r="FC178" s="17"/>
      <c r="FD178" s="17"/>
      <c r="FE178" s="17"/>
      <c r="FF178" s="17"/>
      <c r="FG178" s="17"/>
      <c r="FH178" s="17"/>
      <c r="FI178" s="17"/>
      <c r="FJ178" s="17"/>
      <c r="FK178" s="17"/>
      <c r="FL178" s="17"/>
      <c r="FM178" s="17"/>
      <c r="FN178" s="17"/>
      <c r="FO178" s="17"/>
      <c r="FP178" s="17"/>
      <c r="FQ178" s="17"/>
      <c r="FR178" s="17"/>
      <c r="FS178" s="17"/>
      <c r="FT178" s="17"/>
      <c r="FU178" s="17"/>
      <c r="FV178" s="17"/>
      <c r="FW178" s="17"/>
      <c r="FX178" s="17"/>
      <c r="FY178" s="17"/>
      <c r="FZ178" s="17"/>
      <c r="GA178" s="17"/>
      <c r="GB178" s="17"/>
      <c r="GC178" s="17"/>
      <c r="GD178" s="17"/>
      <c r="GE178" s="17"/>
      <c r="GF178" s="17"/>
      <c r="GG178" s="17"/>
    </row>
    <row r="179" spans="1:189" s="14" customFormat="1" ht="31.5" x14ac:dyDescent="0.25">
      <c r="A179" s="22" t="s">
        <v>261</v>
      </c>
      <c r="B179" s="23">
        <f t="shared" ref="B179" si="270">E179+H179+K179+N179+Q179+T179+Z179</f>
        <v>0</v>
      </c>
      <c r="C179" s="23">
        <f t="shared" ref="C179" si="271">F179+I179+L179+O179+R179+U179+AA179</f>
        <v>2261</v>
      </c>
      <c r="D179" s="23">
        <f t="shared" ref="D179" si="272">G179+J179+M179+P179+S179+V179+AB179</f>
        <v>2261</v>
      </c>
      <c r="E179" s="23"/>
      <c r="F179" s="23"/>
      <c r="G179" s="23">
        <f t="shared" ref="G179" si="273">F179-E179</f>
        <v>0</v>
      </c>
      <c r="H179" s="23"/>
      <c r="I179" s="23"/>
      <c r="J179" s="23">
        <f t="shared" ref="J179" si="274">I179-H179</f>
        <v>0</v>
      </c>
      <c r="K179" s="23"/>
      <c r="L179" s="23"/>
      <c r="M179" s="23">
        <f t="shared" ref="M179" si="275">L179-K179</f>
        <v>0</v>
      </c>
      <c r="N179" s="23"/>
      <c r="O179" s="23"/>
      <c r="P179" s="23">
        <f t="shared" ref="P179" si="276">O179-N179</f>
        <v>0</v>
      </c>
      <c r="Q179" s="23"/>
      <c r="R179" s="23">
        <f>834+1427</f>
        <v>2261</v>
      </c>
      <c r="S179" s="23">
        <f t="shared" ref="S179" si="277">R179-Q179</f>
        <v>2261</v>
      </c>
      <c r="T179" s="23"/>
      <c r="U179" s="23"/>
      <c r="V179" s="23">
        <f t="shared" ref="V179" si="278">U179-T179</f>
        <v>0</v>
      </c>
      <c r="W179" s="23"/>
      <c r="X179" s="23"/>
      <c r="Y179" s="23">
        <f t="shared" ref="Y179" si="279">X179-W179</f>
        <v>0</v>
      </c>
      <c r="Z179" s="23"/>
      <c r="AA179" s="23"/>
      <c r="AB179" s="23">
        <f t="shared" ref="AB179" si="280">AA179-Z179</f>
        <v>0</v>
      </c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  <c r="FB179" s="17"/>
      <c r="FC179" s="17"/>
      <c r="FD179" s="17"/>
      <c r="FE179" s="17"/>
      <c r="FF179" s="17"/>
      <c r="FG179" s="17"/>
      <c r="FH179" s="17"/>
      <c r="FI179" s="17"/>
      <c r="FJ179" s="17"/>
      <c r="FK179" s="17"/>
      <c r="FL179" s="17"/>
      <c r="FM179" s="17"/>
      <c r="FN179" s="17"/>
      <c r="FO179" s="17"/>
      <c r="FP179" s="17"/>
      <c r="FQ179" s="17"/>
      <c r="FR179" s="17"/>
      <c r="FS179" s="17"/>
      <c r="FT179" s="17"/>
      <c r="FU179" s="17"/>
      <c r="FV179" s="17"/>
      <c r="FW179" s="17"/>
      <c r="FX179" s="17"/>
      <c r="FY179" s="17"/>
      <c r="FZ179" s="17"/>
      <c r="GA179" s="17"/>
      <c r="GB179" s="17"/>
      <c r="GC179" s="17"/>
      <c r="GD179" s="17"/>
      <c r="GE179" s="17"/>
      <c r="GF179" s="17"/>
      <c r="GG179" s="17"/>
    </row>
    <row r="180" spans="1:189" s="14" customFormat="1" ht="31.5" x14ac:dyDescent="0.25">
      <c r="A180" s="22" t="s">
        <v>259</v>
      </c>
      <c r="B180" s="23">
        <f t="shared" si="92"/>
        <v>35000</v>
      </c>
      <c r="C180" s="23">
        <f t="shared" si="189"/>
        <v>165000</v>
      </c>
      <c r="D180" s="23">
        <f t="shared" si="189"/>
        <v>130000</v>
      </c>
      <c r="E180" s="23"/>
      <c r="F180" s="23"/>
      <c r="G180" s="23">
        <f t="shared" si="94"/>
        <v>0</v>
      </c>
      <c r="H180" s="23"/>
      <c r="I180" s="23"/>
      <c r="J180" s="23">
        <f t="shared" si="95"/>
        <v>0</v>
      </c>
      <c r="K180" s="23"/>
      <c r="L180" s="23"/>
      <c r="M180" s="23">
        <f t="shared" si="96"/>
        <v>0</v>
      </c>
      <c r="N180" s="23"/>
      <c r="O180" s="23"/>
      <c r="P180" s="23">
        <f t="shared" si="97"/>
        <v>0</v>
      </c>
      <c r="Q180" s="23">
        <v>35000</v>
      </c>
      <c r="R180" s="23">
        <f>19453+7200+8823+23491+5400+100633</f>
        <v>165000</v>
      </c>
      <c r="S180" s="23">
        <f t="shared" si="98"/>
        <v>130000</v>
      </c>
      <c r="T180" s="23"/>
      <c r="U180" s="23"/>
      <c r="V180" s="23">
        <f t="shared" si="99"/>
        <v>0</v>
      </c>
      <c r="W180" s="23"/>
      <c r="X180" s="23"/>
      <c r="Y180" s="23">
        <f t="shared" si="100"/>
        <v>0</v>
      </c>
      <c r="Z180" s="23"/>
      <c r="AA180" s="23"/>
      <c r="AB180" s="23">
        <f t="shared" si="101"/>
        <v>0</v>
      </c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  <c r="FM180" s="17"/>
      <c r="FN180" s="17"/>
      <c r="FO180" s="17"/>
      <c r="FP180" s="17"/>
      <c r="FQ180" s="17"/>
      <c r="FR180" s="17"/>
      <c r="FS180" s="17"/>
      <c r="FT180" s="17"/>
      <c r="FU180" s="17"/>
      <c r="FV180" s="17"/>
      <c r="FW180" s="17"/>
      <c r="FX180" s="17"/>
      <c r="FY180" s="17"/>
      <c r="FZ180" s="17"/>
      <c r="GA180" s="17"/>
      <c r="GB180" s="17"/>
      <c r="GC180" s="17"/>
      <c r="GD180" s="17"/>
      <c r="GE180" s="17"/>
      <c r="GF180" s="17"/>
      <c r="GG180" s="17"/>
    </row>
    <row r="181" spans="1:189" s="17" customFormat="1" x14ac:dyDescent="0.25">
      <c r="A181" s="15" t="s">
        <v>109</v>
      </c>
      <c r="B181" s="16">
        <f t="shared" si="92"/>
        <v>4335792</v>
      </c>
      <c r="C181" s="16">
        <f t="shared" si="189"/>
        <v>4335792</v>
      </c>
      <c r="D181" s="16">
        <f t="shared" si="189"/>
        <v>0</v>
      </c>
      <c r="E181" s="16">
        <f t="shared" ref="E181:Z181" si="281">SUM(E182:E184)</f>
        <v>200000</v>
      </c>
      <c r="F181" s="16">
        <f t="shared" ref="F181" si="282">SUM(F182:F184)</f>
        <v>200000</v>
      </c>
      <c r="G181" s="16">
        <f t="shared" si="94"/>
        <v>0</v>
      </c>
      <c r="H181" s="16">
        <f t="shared" si="281"/>
        <v>0</v>
      </c>
      <c r="I181" s="16">
        <f t="shared" ref="I181" si="283">SUM(I182:I184)</f>
        <v>0</v>
      </c>
      <c r="J181" s="16">
        <f t="shared" si="95"/>
        <v>0</v>
      </c>
      <c r="K181" s="16">
        <f t="shared" si="281"/>
        <v>0</v>
      </c>
      <c r="L181" s="16">
        <f t="shared" ref="L181" si="284">SUM(L182:L184)</f>
        <v>0</v>
      </c>
      <c r="M181" s="16">
        <f t="shared" si="96"/>
        <v>0</v>
      </c>
      <c r="N181" s="16">
        <f t="shared" si="281"/>
        <v>0</v>
      </c>
      <c r="O181" s="16">
        <f t="shared" ref="O181" si="285">SUM(O182:O184)</f>
        <v>0</v>
      </c>
      <c r="P181" s="16">
        <f t="shared" si="97"/>
        <v>0</v>
      </c>
      <c r="Q181" s="16">
        <f t="shared" si="281"/>
        <v>0</v>
      </c>
      <c r="R181" s="16">
        <f t="shared" ref="R181" si="286">SUM(R182:R184)</f>
        <v>0</v>
      </c>
      <c r="S181" s="16">
        <f t="shared" si="98"/>
        <v>0</v>
      </c>
      <c r="T181" s="16">
        <f t="shared" si="281"/>
        <v>364192</v>
      </c>
      <c r="U181" s="16">
        <f t="shared" ref="U181" si="287">SUM(U182:U184)</f>
        <v>364192</v>
      </c>
      <c r="V181" s="16">
        <f t="shared" si="99"/>
        <v>0</v>
      </c>
      <c r="W181" s="16">
        <f t="shared" ref="W181" si="288">SUM(W182:W184)</f>
        <v>0</v>
      </c>
      <c r="X181" s="16">
        <f t="shared" ref="X181" si="289">SUM(X182:X184)</f>
        <v>0</v>
      </c>
      <c r="Y181" s="16">
        <f t="shared" si="100"/>
        <v>0</v>
      </c>
      <c r="Z181" s="16">
        <f t="shared" si="281"/>
        <v>3771600</v>
      </c>
      <c r="AA181" s="16">
        <f t="shared" ref="AA181" si="290">SUM(AA182:AA184)</f>
        <v>3771600</v>
      </c>
      <c r="AB181" s="16">
        <f t="shared" si="101"/>
        <v>0</v>
      </c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</row>
    <row r="182" spans="1:189" s="17" customFormat="1" ht="31.5" x14ac:dyDescent="0.25">
      <c r="A182" s="22" t="s">
        <v>123</v>
      </c>
      <c r="B182" s="23">
        <f t="shared" ref="B182:B251" si="291">E182+H182+K182+N182+Q182+T182+Z182</f>
        <v>1000000</v>
      </c>
      <c r="C182" s="23">
        <f t="shared" si="189"/>
        <v>1000000</v>
      </c>
      <c r="D182" s="23">
        <f t="shared" si="189"/>
        <v>0</v>
      </c>
      <c r="E182" s="23">
        <v>200000</v>
      </c>
      <c r="F182" s="23">
        <v>200000</v>
      </c>
      <c r="G182" s="23">
        <f t="shared" si="94"/>
        <v>0</v>
      </c>
      <c r="H182" s="23"/>
      <c r="I182" s="23"/>
      <c r="J182" s="23">
        <f t="shared" si="95"/>
        <v>0</v>
      </c>
      <c r="K182" s="23"/>
      <c r="L182" s="23"/>
      <c r="M182" s="23">
        <f t="shared" si="96"/>
        <v>0</v>
      </c>
      <c r="N182" s="23"/>
      <c r="O182" s="23"/>
      <c r="P182" s="23">
        <f t="shared" si="97"/>
        <v>0</v>
      </c>
      <c r="Q182" s="23"/>
      <c r="R182" s="23"/>
      <c r="S182" s="23">
        <f t="shared" si="98"/>
        <v>0</v>
      </c>
      <c r="T182" s="23"/>
      <c r="U182" s="23"/>
      <c r="V182" s="23">
        <f t="shared" si="99"/>
        <v>0</v>
      </c>
      <c r="W182" s="23"/>
      <c r="X182" s="23"/>
      <c r="Y182" s="23">
        <f t="shared" si="100"/>
        <v>0</v>
      </c>
      <c r="Z182" s="23">
        <f>800000</f>
        <v>800000</v>
      </c>
      <c r="AA182" s="23">
        <f>800000</f>
        <v>800000</v>
      </c>
      <c r="AB182" s="23">
        <f t="shared" si="101"/>
        <v>0</v>
      </c>
    </row>
    <row r="183" spans="1:189" s="17" customFormat="1" x14ac:dyDescent="0.25">
      <c r="A183" s="22" t="s">
        <v>124</v>
      </c>
      <c r="B183" s="23">
        <f t="shared" si="291"/>
        <v>2971600</v>
      </c>
      <c r="C183" s="23">
        <f t="shared" ref="C183:D203" si="292">F183+I183+L183+O183+R183+U183+AA183</f>
        <v>2971600</v>
      </c>
      <c r="D183" s="23">
        <f t="shared" si="292"/>
        <v>0</v>
      </c>
      <c r="E183" s="23"/>
      <c r="F183" s="23"/>
      <c r="G183" s="23">
        <f t="shared" ref="G183:G254" si="293">F183-E183</f>
        <v>0</v>
      </c>
      <c r="H183" s="23"/>
      <c r="I183" s="23"/>
      <c r="J183" s="23">
        <f t="shared" ref="J183:J254" si="294">I183-H183</f>
        <v>0</v>
      </c>
      <c r="K183" s="23"/>
      <c r="L183" s="23"/>
      <c r="M183" s="23">
        <f t="shared" ref="M183:M254" si="295">L183-K183</f>
        <v>0</v>
      </c>
      <c r="N183" s="23"/>
      <c r="O183" s="23"/>
      <c r="P183" s="23">
        <f t="shared" ref="P183:P254" si="296">O183-N183</f>
        <v>0</v>
      </c>
      <c r="Q183" s="23"/>
      <c r="R183" s="23"/>
      <c r="S183" s="23">
        <f t="shared" ref="S183:S254" si="297">R183-Q183</f>
        <v>0</v>
      </c>
      <c r="T183" s="23"/>
      <c r="U183" s="23"/>
      <c r="V183" s="23">
        <f t="shared" ref="V183:V254" si="298">U183-T183</f>
        <v>0</v>
      </c>
      <c r="W183" s="23"/>
      <c r="X183" s="23"/>
      <c r="Y183" s="23">
        <f t="shared" ref="Y183:Y254" si="299">X183-W183</f>
        <v>0</v>
      </c>
      <c r="Z183" s="23">
        <v>2971600</v>
      </c>
      <c r="AA183" s="23">
        <v>2971600</v>
      </c>
      <c r="AB183" s="23">
        <f t="shared" ref="AB183:AB254" si="300">AA183-Z183</f>
        <v>0</v>
      </c>
    </row>
    <row r="184" spans="1:189" s="17" customFormat="1" ht="47.25" x14ac:dyDescent="0.25">
      <c r="A184" s="22" t="s">
        <v>125</v>
      </c>
      <c r="B184" s="23">
        <f t="shared" si="291"/>
        <v>364192</v>
      </c>
      <c r="C184" s="23">
        <f t="shared" si="292"/>
        <v>364192</v>
      </c>
      <c r="D184" s="23">
        <f t="shared" si="292"/>
        <v>0</v>
      </c>
      <c r="E184" s="23"/>
      <c r="F184" s="23"/>
      <c r="G184" s="23">
        <f t="shared" si="293"/>
        <v>0</v>
      </c>
      <c r="H184" s="23"/>
      <c r="I184" s="23"/>
      <c r="J184" s="23">
        <f t="shared" si="294"/>
        <v>0</v>
      </c>
      <c r="K184" s="23"/>
      <c r="L184" s="23"/>
      <c r="M184" s="23">
        <f t="shared" si="295"/>
        <v>0</v>
      </c>
      <c r="N184" s="23"/>
      <c r="O184" s="23"/>
      <c r="P184" s="23">
        <f t="shared" si="296"/>
        <v>0</v>
      </c>
      <c r="Q184" s="23"/>
      <c r="R184" s="23"/>
      <c r="S184" s="23">
        <f t="shared" si="297"/>
        <v>0</v>
      </c>
      <c r="T184" s="23">
        <v>364192</v>
      </c>
      <c r="U184" s="23">
        <v>364192</v>
      </c>
      <c r="V184" s="23">
        <f t="shared" si="298"/>
        <v>0</v>
      </c>
      <c r="W184" s="23"/>
      <c r="X184" s="23"/>
      <c r="Y184" s="23">
        <f t="shared" si="299"/>
        <v>0</v>
      </c>
      <c r="Z184" s="23"/>
      <c r="AA184" s="23"/>
      <c r="AB184" s="23">
        <f t="shared" si="300"/>
        <v>0</v>
      </c>
    </row>
    <row r="185" spans="1:189" s="17" customFormat="1" ht="31.5" x14ac:dyDescent="0.25">
      <c r="A185" s="15" t="s">
        <v>111</v>
      </c>
      <c r="B185" s="16">
        <f t="shared" si="291"/>
        <v>146668</v>
      </c>
      <c r="C185" s="16">
        <f t="shared" si="292"/>
        <v>44474</v>
      </c>
      <c r="D185" s="16">
        <f t="shared" si="292"/>
        <v>-102194</v>
      </c>
      <c r="E185" s="16">
        <f t="shared" ref="E185:Z185" si="301">SUM(E186:E190)</f>
        <v>0</v>
      </c>
      <c r="F185" s="16">
        <f t="shared" ref="F185" si="302">SUM(F186:F190)</f>
        <v>0</v>
      </c>
      <c r="G185" s="16">
        <f t="shared" si="293"/>
        <v>0</v>
      </c>
      <c r="H185" s="16">
        <f t="shared" si="301"/>
        <v>0</v>
      </c>
      <c r="I185" s="16">
        <f t="shared" ref="I185" si="303">SUM(I186:I190)</f>
        <v>0</v>
      </c>
      <c r="J185" s="16">
        <f t="shared" si="294"/>
        <v>0</v>
      </c>
      <c r="K185" s="16">
        <f t="shared" si="301"/>
        <v>15000</v>
      </c>
      <c r="L185" s="16">
        <f t="shared" ref="L185" si="304">SUM(L186:L190)</f>
        <v>18580</v>
      </c>
      <c r="M185" s="16">
        <f t="shared" si="295"/>
        <v>3580</v>
      </c>
      <c r="N185" s="16">
        <f t="shared" si="301"/>
        <v>0</v>
      </c>
      <c r="O185" s="16">
        <f t="shared" ref="O185" si="305">SUM(O186:O190)</f>
        <v>0</v>
      </c>
      <c r="P185" s="16">
        <f t="shared" si="296"/>
        <v>0</v>
      </c>
      <c r="Q185" s="16">
        <f t="shared" si="301"/>
        <v>131668</v>
      </c>
      <c r="R185" s="16">
        <f t="shared" ref="R185" si="306">SUM(R186:R190)</f>
        <v>25894</v>
      </c>
      <c r="S185" s="16">
        <f t="shared" si="297"/>
        <v>-105774</v>
      </c>
      <c r="T185" s="16">
        <f t="shared" si="301"/>
        <v>0</v>
      </c>
      <c r="U185" s="16">
        <f t="shared" ref="U185" si="307">SUM(U186:U190)</f>
        <v>0</v>
      </c>
      <c r="V185" s="16">
        <f t="shared" si="298"/>
        <v>0</v>
      </c>
      <c r="W185" s="16">
        <f t="shared" ref="W185" si="308">SUM(W186:W190)</f>
        <v>0</v>
      </c>
      <c r="X185" s="16">
        <f t="shared" ref="X185" si="309">SUM(X186:X190)</f>
        <v>0</v>
      </c>
      <c r="Y185" s="16">
        <f t="shared" si="299"/>
        <v>0</v>
      </c>
      <c r="Z185" s="16">
        <f t="shared" si="301"/>
        <v>0</v>
      </c>
      <c r="AA185" s="16">
        <f t="shared" ref="AA185" si="310">SUM(AA186:AA190)</f>
        <v>0</v>
      </c>
      <c r="AB185" s="16">
        <f t="shared" si="300"/>
        <v>0</v>
      </c>
    </row>
    <row r="186" spans="1:189" s="17" customFormat="1" x14ac:dyDescent="0.25">
      <c r="A186" s="22" t="s">
        <v>264</v>
      </c>
      <c r="B186" s="23">
        <f t="shared" si="291"/>
        <v>131668</v>
      </c>
      <c r="C186" s="23">
        <f t="shared" si="292"/>
        <v>11668</v>
      </c>
      <c r="D186" s="23">
        <f t="shared" si="292"/>
        <v>-120000</v>
      </c>
      <c r="E186" s="23"/>
      <c r="F186" s="23"/>
      <c r="G186" s="23">
        <f t="shared" si="293"/>
        <v>0</v>
      </c>
      <c r="H186" s="23"/>
      <c r="I186" s="23"/>
      <c r="J186" s="23">
        <f t="shared" si="294"/>
        <v>0</v>
      </c>
      <c r="K186" s="23"/>
      <c r="L186" s="23"/>
      <c r="M186" s="23">
        <f t="shared" si="295"/>
        <v>0</v>
      </c>
      <c r="N186" s="23"/>
      <c r="O186" s="23"/>
      <c r="P186" s="23">
        <f t="shared" si="296"/>
        <v>0</v>
      </c>
      <c r="Q186" s="23">
        <v>131668</v>
      </c>
      <c r="R186" s="23">
        <f>131668-120000</f>
        <v>11668</v>
      </c>
      <c r="S186" s="23">
        <f t="shared" si="297"/>
        <v>-120000</v>
      </c>
      <c r="T186" s="23"/>
      <c r="U186" s="23"/>
      <c r="V186" s="23">
        <f t="shared" si="298"/>
        <v>0</v>
      </c>
      <c r="W186" s="23"/>
      <c r="X186" s="23"/>
      <c r="Y186" s="23">
        <f t="shared" si="299"/>
        <v>0</v>
      </c>
      <c r="Z186" s="23"/>
      <c r="AA186" s="23"/>
      <c r="AB186" s="23">
        <f t="shared" si="300"/>
        <v>0</v>
      </c>
    </row>
    <row r="187" spans="1:189" s="17" customFormat="1" ht="31.5" x14ac:dyDescent="0.25">
      <c r="A187" s="22" t="s">
        <v>229</v>
      </c>
      <c r="B187" s="23">
        <f t="shared" si="291"/>
        <v>0</v>
      </c>
      <c r="C187" s="23">
        <f t="shared" ref="C187:C188" si="311">F187+I187+L187+O187+R187+U187+AA187</f>
        <v>3744</v>
      </c>
      <c r="D187" s="23">
        <f t="shared" ref="D187:D188" si="312">G187+J187+M187+P187+S187+V187+AB187</f>
        <v>3744</v>
      </c>
      <c r="E187" s="23"/>
      <c r="F187" s="23"/>
      <c r="G187" s="23">
        <f t="shared" ref="G187:G188" si="313">F187-E187</f>
        <v>0</v>
      </c>
      <c r="H187" s="23"/>
      <c r="I187" s="23"/>
      <c r="J187" s="23">
        <f t="shared" ref="J187:J188" si="314">I187-H187</f>
        <v>0</v>
      </c>
      <c r="K187" s="23"/>
      <c r="L187" s="23"/>
      <c r="M187" s="23">
        <f t="shared" ref="M187:M188" si="315">L187-K187</f>
        <v>0</v>
      </c>
      <c r="N187" s="23"/>
      <c r="O187" s="23"/>
      <c r="P187" s="23">
        <f t="shared" ref="P187:P188" si="316">O187-N187</f>
        <v>0</v>
      </c>
      <c r="Q187" s="23"/>
      <c r="R187" s="23">
        <v>3744</v>
      </c>
      <c r="S187" s="23">
        <f t="shared" ref="S187:S188" si="317">R187-Q187</f>
        <v>3744</v>
      </c>
      <c r="T187" s="23"/>
      <c r="U187" s="23"/>
      <c r="V187" s="23">
        <f t="shared" ref="V187:V188" si="318">U187-T187</f>
        <v>0</v>
      </c>
      <c r="W187" s="23"/>
      <c r="X187" s="23"/>
      <c r="Y187" s="23">
        <f t="shared" ref="Y187:Y188" si="319">X187-W187</f>
        <v>0</v>
      </c>
      <c r="Z187" s="23"/>
      <c r="AA187" s="23"/>
      <c r="AB187" s="23">
        <f t="shared" ref="AB187:AB188" si="320">AA187-Z187</f>
        <v>0</v>
      </c>
    </row>
    <row r="188" spans="1:189" s="14" customFormat="1" x14ac:dyDescent="0.25">
      <c r="A188" s="22" t="s">
        <v>263</v>
      </c>
      <c r="B188" s="23">
        <f t="shared" si="291"/>
        <v>0</v>
      </c>
      <c r="C188" s="23">
        <f t="shared" si="311"/>
        <v>10482</v>
      </c>
      <c r="D188" s="23">
        <f t="shared" si="312"/>
        <v>10482</v>
      </c>
      <c r="E188" s="23"/>
      <c r="F188" s="23"/>
      <c r="G188" s="23">
        <f t="shared" si="313"/>
        <v>0</v>
      </c>
      <c r="H188" s="23"/>
      <c r="I188" s="23"/>
      <c r="J188" s="23">
        <f t="shared" si="314"/>
        <v>0</v>
      </c>
      <c r="K188" s="23"/>
      <c r="L188" s="23"/>
      <c r="M188" s="23">
        <f t="shared" si="315"/>
        <v>0</v>
      </c>
      <c r="N188" s="23"/>
      <c r="O188" s="23"/>
      <c r="P188" s="23">
        <f t="shared" si="316"/>
        <v>0</v>
      </c>
      <c r="Q188" s="23"/>
      <c r="R188" s="23">
        <f>3108+1842+2532+3000</f>
        <v>10482</v>
      </c>
      <c r="S188" s="23">
        <f t="shared" si="317"/>
        <v>10482</v>
      </c>
      <c r="T188" s="23"/>
      <c r="U188" s="23"/>
      <c r="V188" s="23">
        <f t="shared" si="318"/>
        <v>0</v>
      </c>
      <c r="W188" s="23"/>
      <c r="X188" s="23"/>
      <c r="Y188" s="23">
        <f t="shared" si="319"/>
        <v>0</v>
      </c>
      <c r="Z188" s="23"/>
      <c r="AA188" s="23"/>
      <c r="AB188" s="23">
        <f t="shared" si="320"/>
        <v>0</v>
      </c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</row>
    <row r="189" spans="1:189" s="14" customFormat="1" x14ac:dyDescent="0.25">
      <c r="A189" s="22" t="s">
        <v>265</v>
      </c>
      <c r="B189" s="23">
        <f t="shared" ref="B189" si="321">E189+H189+K189+N189+Q189+T189+Z189</f>
        <v>0</v>
      </c>
      <c r="C189" s="23">
        <f t="shared" ref="C189" si="322">F189+I189+L189+O189+R189+U189+AA189</f>
        <v>3580</v>
      </c>
      <c r="D189" s="23">
        <f t="shared" ref="D189" si="323">G189+J189+M189+P189+S189+V189+AB189</f>
        <v>3580</v>
      </c>
      <c r="E189" s="23"/>
      <c r="F189" s="23"/>
      <c r="G189" s="23">
        <f t="shared" ref="G189" si="324">F189-E189</f>
        <v>0</v>
      </c>
      <c r="H189" s="23"/>
      <c r="I189" s="23"/>
      <c r="J189" s="23">
        <f t="shared" ref="J189" si="325">I189-H189</f>
        <v>0</v>
      </c>
      <c r="K189" s="23"/>
      <c r="L189" s="23">
        <v>3580</v>
      </c>
      <c r="M189" s="23">
        <f t="shared" ref="M189" si="326">L189-K189</f>
        <v>3580</v>
      </c>
      <c r="N189" s="23"/>
      <c r="O189" s="23"/>
      <c r="P189" s="23">
        <f t="shared" ref="P189" si="327">O189-N189</f>
        <v>0</v>
      </c>
      <c r="Q189" s="23"/>
      <c r="R189" s="23"/>
      <c r="S189" s="23">
        <f t="shared" ref="S189" si="328">R189-Q189</f>
        <v>0</v>
      </c>
      <c r="T189" s="23"/>
      <c r="U189" s="23"/>
      <c r="V189" s="23">
        <f t="shared" ref="V189" si="329">U189-T189</f>
        <v>0</v>
      </c>
      <c r="W189" s="23"/>
      <c r="X189" s="23"/>
      <c r="Y189" s="23">
        <f t="shared" ref="Y189" si="330">X189-W189</f>
        <v>0</v>
      </c>
      <c r="Z189" s="23"/>
      <c r="AA189" s="23"/>
      <c r="AB189" s="23">
        <f t="shared" ref="AB189" si="331">AA189-Z189</f>
        <v>0</v>
      </c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  <c r="FB189" s="17"/>
      <c r="FC189" s="17"/>
      <c r="FD189" s="17"/>
      <c r="FE189" s="17"/>
      <c r="FF189" s="17"/>
      <c r="FG189" s="17"/>
      <c r="FH189" s="17"/>
      <c r="FI189" s="17"/>
      <c r="FJ189" s="17"/>
      <c r="FK189" s="17"/>
      <c r="FL189" s="17"/>
      <c r="FM189" s="17"/>
      <c r="FN189" s="17"/>
      <c r="FO189" s="17"/>
      <c r="FP189" s="17"/>
      <c r="FQ189" s="17"/>
      <c r="FR189" s="17"/>
      <c r="FS189" s="17"/>
      <c r="FT189" s="17"/>
      <c r="FU189" s="17"/>
      <c r="FV189" s="17"/>
      <c r="FW189" s="17"/>
      <c r="FX189" s="17"/>
      <c r="FY189" s="17"/>
      <c r="FZ189" s="17"/>
      <c r="GA189" s="17"/>
      <c r="GB189" s="17"/>
      <c r="GC189" s="17"/>
      <c r="GD189" s="17"/>
      <c r="GE189" s="17"/>
      <c r="GF189" s="17"/>
      <c r="GG189" s="17"/>
    </row>
    <row r="190" spans="1:189" s="17" customFormat="1" ht="31.5" x14ac:dyDescent="0.25">
      <c r="A190" s="22" t="s">
        <v>126</v>
      </c>
      <c r="B190" s="23">
        <f t="shared" si="291"/>
        <v>15000</v>
      </c>
      <c r="C190" s="23">
        <f t="shared" si="292"/>
        <v>15000</v>
      </c>
      <c r="D190" s="23">
        <f t="shared" si="292"/>
        <v>0</v>
      </c>
      <c r="E190" s="23"/>
      <c r="F190" s="23"/>
      <c r="G190" s="23">
        <f t="shared" si="293"/>
        <v>0</v>
      </c>
      <c r="H190" s="23"/>
      <c r="I190" s="23"/>
      <c r="J190" s="23">
        <f t="shared" si="294"/>
        <v>0</v>
      </c>
      <c r="K190" s="23">
        <v>15000</v>
      </c>
      <c r="L190" s="23">
        <v>15000</v>
      </c>
      <c r="M190" s="23">
        <f t="shared" si="295"/>
        <v>0</v>
      </c>
      <c r="N190" s="23"/>
      <c r="O190" s="23"/>
      <c r="P190" s="23">
        <f t="shared" si="296"/>
        <v>0</v>
      </c>
      <c r="Q190" s="23"/>
      <c r="R190" s="23"/>
      <c r="S190" s="23">
        <f t="shared" si="297"/>
        <v>0</v>
      </c>
      <c r="T190" s="23"/>
      <c r="U190" s="23"/>
      <c r="V190" s="23">
        <f t="shared" si="298"/>
        <v>0</v>
      </c>
      <c r="W190" s="23"/>
      <c r="X190" s="23"/>
      <c r="Y190" s="23">
        <f t="shared" si="299"/>
        <v>0</v>
      </c>
      <c r="Z190" s="23"/>
      <c r="AA190" s="23"/>
      <c r="AB190" s="23">
        <f t="shared" si="300"/>
        <v>0</v>
      </c>
    </row>
    <row r="191" spans="1:189" s="17" customFormat="1" x14ac:dyDescent="0.25">
      <c r="A191" s="15" t="s">
        <v>127</v>
      </c>
      <c r="B191" s="16">
        <f t="shared" si="291"/>
        <v>54796</v>
      </c>
      <c r="C191" s="16">
        <f t="shared" si="292"/>
        <v>40394</v>
      </c>
      <c r="D191" s="16">
        <f t="shared" si="292"/>
        <v>-14402</v>
      </c>
      <c r="E191" s="16">
        <f>SUM(E192:E199)</f>
        <v>0</v>
      </c>
      <c r="F191" s="16">
        <f>SUM(F192:F199)</f>
        <v>0</v>
      </c>
      <c r="G191" s="16">
        <f t="shared" si="293"/>
        <v>0</v>
      </c>
      <c r="H191" s="16">
        <f>SUM(H192:H199)</f>
        <v>0</v>
      </c>
      <c r="I191" s="16">
        <f>SUM(I192:I199)</f>
        <v>0</v>
      </c>
      <c r="J191" s="16">
        <f t="shared" si="294"/>
        <v>0</v>
      </c>
      <c r="K191" s="16">
        <f>SUM(K192:K199)</f>
        <v>29796</v>
      </c>
      <c r="L191" s="16">
        <f>SUM(L192:L199)</f>
        <v>33731</v>
      </c>
      <c r="M191" s="16">
        <f t="shared" si="295"/>
        <v>3935</v>
      </c>
      <c r="N191" s="16">
        <f>SUM(N192:N199)</f>
        <v>0</v>
      </c>
      <c r="O191" s="16">
        <f>SUM(O192:O199)</f>
        <v>1663</v>
      </c>
      <c r="P191" s="16">
        <f t="shared" si="296"/>
        <v>1663</v>
      </c>
      <c r="Q191" s="16">
        <f>SUM(Q192:Q199)</f>
        <v>25000</v>
      </c>
      <c r="R191" s="16">
        <f>SUM(R192:R199)</f>
        <v>5000</v>
      </c>
      <c r="S191" s="16">
        <f t="shared" si="297"/>
        <v>-20000</v>
      </c>
      <c r="T191" s="16">
        <f>SUM(T192:T199)</f>
        <v>0</v>
      </c>
      <c r="U191" s="16">
        <f>SUM(U192:U199)</f>
        <v>0</v>
      </c>
      <c r="V191" s="16">
        <f t="shared" si="298"/>
        <v>0</v>
      </c>
      <c r="W191" s="16">
        <f>SUM(W192:W199)</f>
        <v>0</v>
      </c>
      <c r="X191" s="16">
        <f>SUM(X192:X199)</f>
        <v>0</v>
      </c>
      <c r="Y191" s="16">
        <f t="shared" si="299"/>
        <v>0</v>
      </c>
      <c r="Z191" s="16">
        <f>SUM(Z192:Z199)</f>
        <v>0</v>
      </c>
      <c r="AA191" s="16">
        <f>SUM(AA192:AA199)</f>
        <v>0</v>
      </c>
      <c r="AB191" s="16">
        <f t="shared" si="300"/>
        <v>0</v>
      </c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</row>
    <row r="192" spans="1:189" s="17" customFormat="1" ht="31.5" x14ac:dyDescent="0.25">
      <c r="A192" s="22" t="s">
        <v>128</v>
      </c>
      <c r="B192" s="23">
        <f t="shared" si="291"/>
        <v>7970</v>
      </c>
      <c r="C192" s="23">
        <f t="shared" si="292"/>
        <v>7970</v>
      </c>
      <c r="D192" s="23">
        <f t="shared" si="292"/>
        <v>0</v>
      </c>
      <c r="E192" s="23"/>
      <c r="F192" s="23"/>
      <c r="G192" s="23">
        <f t="shared" si="293"/>
        <v>0</v>
      </c>
      <c r="H192" s="23"/>
      <c r="I192" s="23"/>
      <c r="J192" s="23">
        <f t="shared" si="294"/>
        <v>0</v>
      </c>
      <c r="K192" s="23">
        <v>7970</v>
      </c>
      <c r="L192" s="23">
        <v>7970</v>
      </c>
      <c r="M192" s="23">
        <f t="shared" si="295"/>
        <v>0</v>
      </c>
      <c r="N192" s="23"/>
      <c r="O192" s="23"/>
      <c r="P192" s="23">
        <f t="shared" si="296"/>
        <v>0</v>
      </c>
      <c r="Q192" s="23"/>
      <c r="R192" s="23"/>
      <c r="S192" s="23">
        <f t="shared" si="297"/>
        <v>0</v>
      </c>
      <c r="T192" s="23"/>
      <c r="U192" s="23"/>
      <c r="V192" s="23">
        <f t="shared" si="298"/>
        <v>0</v>
      </c>
      <c r="W192" s="23"/>
      <c r="X192" s="23"/>
      <c r="Y192" s="23">
        <f t="shared" si="299"/>
        <v>0</v>
      </c>
      <c r="Z192" s="23"/>
      <c r="AA192" s="23"/>
      <c r="AB192" s="23">
        <f t="shared" si="300"/>
        <v>0</v>
      </c>
    </row>
    <row r="193" spans="1:28" s="17" customFormat="1" x14ac:dyDescent="0.25">
      <c r="A193" s="25" t="s">
        <v>129</v>
      </c>
      <c r="B193" s="23">
        <f t="shared" si="291"/>
        <v>4920</v>
      </c>
      <c r="C193" s="23">
        <f t="shared" si="292"/>
        <v>4920</v>
      </c>
      <c r="D193" s="23">
        <f t="shared" si="292"/>
        <v>0</v>
      </c>
      <c r="E193" s="23"/>
      <c r="F193" s="23"/>
      <c r="G193" s="23">
        <f t="shared" si="293"/>
        <v>0</v>
      </c>
      <c r="H193" s="23"/>
      <c r="I193" s="23"/>
      <c r="J193" s="23">
        <f t="shared" si="294"/>
        <v>0</v>
      </c>
      <c r="K193" s="23">
        <v>4920</v>
      </c>
      <c r="L193" s="23">
        <v>4920</v>
      </c>
      <c r="M193" s="23">
        <f t="shared" si="295"/>
        <v>0</v>
      </c>
      <c r="N193" s="23"/>
      <c r="O193" s="23"/>
      <c r="P193" s="23">
        <f t="shared" si="296"/>
        <v>0</v>
      </c>
      <c r="Q193" s="23"/>
      <c r="R193" s="23"/>
      <c r="S193" s="23">
        <f t="shared" si="297"/>
        <v>0</v>
      </c>
      <c r="T193" s="23"/>
      <c r="U193" s="23"/>
      <c r="V193" s="23">
        <f t="shared" si="298"/>
        <v>0</v>
      </c>
      <c r="W193" s="23"/>
      <c r="X193" s="23"/>
      <c r="Y193" s="23">
        <f t="shared" si="299"/>
        <v>0</v>
      </c>
      <c r="Z193" s="23"/>
      <c r="AA193" s="23"/>
      <c r="AB193" s="23">
        <f t="shared" si="300"/>
        <v>0</v>
      </c>
    </row>
    <row r="194" spans="1:28" s="17" customFormat="1" x14ac:dyDescent="0.25">
      <c r="A194" s="25" t="s">
        <v>130</v>
      </c>
      <c r="B194" s="23">
        <f t="shared" si="291"/>
        <v>4920</v>
      </c>
      <c r="C194" s="23">
        <f t="shared" si="292"/>
        <v>4920</v>
      </c>
      <c r="D194" s="23">
        <f t="shared" si="292"/>
        <v>0</v>
      </c>
      <c r="E194" s="23"/>
      <c r="F194" s="23"/>
      <c r="G194" s="23">
        <f t="shared" si="293"/>
        <v>0</v>
      </c>
      <c r="H194" s="23"/>
      <c r="I194" s="23"/>
      <c r="J194" s="23">
        <f t="shared" si="294"/>
        <v>0</v>
      </c>
      <c r="K194" s="23">
        <v>4920</v>
      </c>
      <c r="L194" s="23">
        <v>4920</v>
      </c>
      <c r="M194" s="23">
        <f t="shared" si="295"/>
        <v>0</v>
      </c>
      <c r="N194" s="23"/>
      <c r="O194" s="23"/>
      <c r="P194" s="23">
        <f t="shared" si="296"/>
        <v>0</v>
      </c>
      <c r="Q194" s="23"/>
      <c r="R194" s="23"/>
      <c r="S194" s="23">
        <f t="shared" si="297"/>
        <v>0</v>
      </c>
      <c r="T194" s="23"/>
      <c r="U194" s="23"/>
      <c r="V194" s="23">
        <f t="shared" si="298"/>
        <v>0</v>
      </c>
      <c r="W194" s="23"/>
      <c r="X194" s="23"/>
      <c r="Y194" s="23">
        <f t="shared" si="299"/>
        <v>0</v>
      </c>
      <c r="Z194" s="23"/>
      <c r="AA194" s="23"/>
      <c r="AB194" s="23">
        <f t="shared" si="300"/>
        <v>0</v>
      </c>
    </row>
    <row r="195" spans="1:28" s="17" customFormat="1" x14ac:dyDescent="0.25">
      <c r="A195" s="25" t="s">
        <v>131</v>
      </c>
      <c r="B195" s="23">
        <f t="shared" si="291"/>
        <v>4920</v>
      </c>
      <c r="C195" s="23">
        <f t="shared" si="292"/>
        <v>4920</v>
      </c>
      <c r="D195" s="23">
        <f t="shared" si="292"/>
        <v>0</v>
      </c>
      <c r="E195" s="23"/>
      <c r="F195" s="23"/>
      <c r="G195" s="23">
        <f t="shared" si="293"/>
        <v>0</v>
      </c>
      <c r="H195" s="23"/>
      <c r="I195" s="23"/>
      <c r="J195" s="23">
        <f t="shared" si="294"/>
        <v>0</v>
      </c>
      <c r="K195" s="23">
        <v>4920</v>
      </c>
      <c r="L195" s="23">
        <v>4920</v>
      </c>
      <c r="M195" s="23">
        <f t="shared" si="295"/>
        <v>0</v>
      </c>
      <c r="N195" s="23"/>
      <c r="O195" s="23"/>
      <c r="P195" s="23">
        <f t="shared" si="296"/>
        <v>0</v>
      </c>
      <c r="Q195" s="23"/>
      <c r="R195" s="23"/>
      <c r="S195" s="23">
        <f t="shared" si="297"/>
        <v>0</v>
      </c>
      <c r="T195" s="23"/>
      <c r="U195" s="23"/>
      <c r="V195" s="23">
        <f t="shared" si="298"/>
        <v>0</v>
      </c>
      <c r="W195" s="23"/>
      <c r="X195" s="23"/>
      <c r="Y195" s="23">
        <f t="shared" si="299"/>
        <v>0</v>
      </c>
      <c r="Z195" s="23"/>
      <c r="AA195" s="23"/>
      <c r="AB195" s="23">
        <f t="shared" si="300"/>
        <v>0</v>
      </c>
    </row>
    <row r="196" spans="1:28" s="17" customFormat="1" ht="31.5" x14ac:dyDescent="0.25">
      <c r="A196" s="25" t="s">
        <v>132</v>
      </c>
      <c r="B196" s="23">
        <f t="shared" si="291"/>
        <v>7066</v>
      </c>
      <c r="C196" s="23">
        <f t="shared" si="292"/>
        <v>7066</v>
      </c>
      <c r="D196" s="23">
        <f t="shared" si="292"/>
        <v>0</v>
      </c>
      <c r="E196" s="23"/>
      <c r="F196" s="23"/>
      <c r="G196" s="23">
        <f t="shared" si="293"/>
        <v>0</v>
      </c>
      <c r="H196" s="23"/>
      <c r="I196" s="23"/>
      <c r="J196" s="23">
        <f t="shared" si="294"/>
        <v>0</v>
      </c>
      <c r="K196" s="23">
        <v>7066</v>
      </c>
      <c r="L196" s="23">
        <v>7066</v>
      </c>
      <c r="M196" s="23">
        <f t="shared" si="295"/>
        <v>0</v>
      </c>
      <c r="N196" s="23"/>
      <c r="O196" s="23"/>
      <c r="P196" s="23">
        <f t="shared" si="296"/>
        <v>0</v>
      </c>
      <c r="Q196" s="23"/>
      <c r="R196" s="23"/>
      <c r="S196" s="23">
        <f t="shared" si="297"/>
        <v>0</v>
      </c>
      <c r="T196" s="23"/>
      <c r="U196" s="23"/>
      <c r="V196" s="23">
        <f t="shared" si="298"/>
        <v>0</v>
      </c>
      <c r="W196" s="23"/>
      <c r="X196" s="23"/>
      <c r="Y196" s="23">
        <f t="shared" si="299"/>
        <v>0</v>
      </c>
      <c r="Z196" s="23"/>
      <c r="AA196" s="23"/>
      <c r="AB196" s="23">
        <f t="shared" si="300"/>
        <v>0</v>
      </c>
    </row>
    <row r="197" spans="1:28" s="17" customFormat="1" ht="31.5" x14ac:dyDescent="0.25">
      <c r="A197" s="22" t="s">
        <v>231</v>
      </c>
      <c r="B197" s="23">
        <f t="shared" ref="B197" si="332">E197+H197+K197+N197+Q197+T197+Z197</f>
        <v>0</v>
      </c>
      <c r="C197" s="23">
        <f t="shared" si="292"/>
        <v>1663</v>
      </c>
      <c r="D197" s="23">
        <f t="shared" si="292"/>
        <v>1663</v>
      </c>
      <c r="E197" s="23"/>
      <c r="F197" s="23"/>
      <c r="G197" s="23">
        <f t="shared" si="293"/>
        <v>0</v>
      </c>
      <c r="H197" s="23"/>
      <c r="I197" s="23"/>
      <c r="J197" s="23">
        <f t="shared" si="294"/>
        <v>0</v>
      </c>
      <c r="K197" s="23"/>
      <c r="L197" s="23"/>
      <c r="M197" s="23"/>
      <c r="N197" s="23"/>
      <c r="O197" s="23">
        <v>1663</v>
      </c>
      <c r="P197" s="23">
        <f t="shared" si="296"/>
        <v>1663</v>
      </c>
      <c r="Q197" s="23"/>
      <c r="R197" s="23"/>
      <c r="S197" s="23">
        <f t="shared" si="297"/>
        <v>0</v>
      </c>
      <c r="T197" s="23"/>
      <c r="U197" s="23"/>
      <c r="V197" s="23">
        <f t="shared" si="298"/>
        <v>0</v>
      </c>
      <c r="W197" s="23"/>
      <c r="X197" s="23"/>
      <c r="Y197" s="23">
        <f t="shared" si="299"/>
        <v>0</v>
      </c>
      <c r="Z197" s="23"/>
      <c r="AA197" s="23"/>
      <c r="AB197" s="23">
        <f t="shared" si="300"/>
        <v>0</v>
      </c>
    </row>
    <row r="198" spans="1:28" s="17" customFormat="1" x14ac:dyDescent="0.25">
      <c r="A198" s="22" t="s">
        <v>230</v>
      </c>
      <c r="B198" s="23">
        <f t="shared" si="291"/>
        <v>0</v>
      </c>
      <c r="C198" s="23">
        <f t="shared" ref="C198" si="333">F198+I198+L198+O198+R198+U198+AA198</f>
        <v>3935</v>
      </c>
      <c r="D198" s="23">
        <f t="shared" ref="D198" si="334">G198+J198+M198+P198+S198+V198+AB198</f>
        <v>3935</v>
      </c>
      <c r="E198" s="23"/>
      <c r="F198" s="23"/>
      <c r="G198" s="23">
        <f t="shared" ref="G198" si="335">F198-E198</f>
        <v>0</v>
      </c>
      <c r="H198" s="23"/>
      <c r="I198" s="23"/>
      <c r="J198" s="23">
        <f t="shared" ref="J198" si="336">I198-H198</f>
        <v>0</v>
      </c>
      <c r="K198" s="23"/>
      <c r="L198" s="23">
        <v>3935</v>
      </c>
      <c r="M198" s="23">
        <f t="shared" ref="M198" si="337">L198-K198</f>
        <v>3935</v>
      </c>
      <c r="N198" s="23"/>
      <c r="O198" s="23"/>
      <c r="P198" s="23">
        <f t="shared" ref="P198" si="338">O198-N198</f>
        <v>0</v>
      </c>
      <c r="Q198" s="23"/>
      <c r="R198" s="23"/>
      <c r="S198" s="23">
        <f t="shared" ref="S198" si="339">R198-Q198</f>
        <v>0</v>
      </c>
      <c r="T198" s="23"/>
      <c r="U198" s="23"/>
      <c r="V198" s="23">
        <f t="shared" ref="V198" si="340">U198-T198</f>
        <v>0</v>
      </c>
      <c r="W198" s="23"/>
      <c r="X198" s="23"/>
      <c r="Y198" s="23">
        <f t="shared" ref="Y198" si="341">X198-W198</f>
        <v>0</v>
      </c>
      <c r="Z198" s="23"/>
      <c r="AA198" s="23"/>
      <c r="AB198" s="23">
        <f t="shared" ref="AB198" si="342">AA198-Z198</f>
        <v>0</v>
      </c>
    </row>
    <row r="199" spans="1:28" s="17" customFormat="1" ht="31.5" x14ac:dyDescent="0.25">
      <c r="A199" s="22" t="s">
        <v>266</v>
      </c>
      <c r="B199" s="23">
        <f t="shared" si="291"/>
        <v>25000</v>
      </c>
      <c r="C199" s="23">
        <f t="shared" si="292"/>
        <v>5000</v>
      </c>
      <c r="D199" s="23">
        <f t="shared" si="292"/>
        <v>-20000</v>
      </c>
      <c r="E199" s="23"/>
      <c r="F199" s="23"/>
      <c r="G199" s="23">
        <f t="shared" si="293"/>
        <v>0</v>
      </c>
      <c r="H199" s="23"/>
      <c r="I199" s="23"/>
      <c r="J199" s="23">
        <f t="shared" si="294"/>
        <v>0</v>
      </c>
      <c r="K199" s="23"/>
      <c r="L199" s="23"/>
      <c r="M199" s="23">
        <f t="shared" si="295"/>
        <v>0</v>
      </c>
      <c r="N199" s="23"/>
      <c r="O199" s="23"/>
      <c r="P199" s="23">
        <f t="shared" si="296"/>
        <v>0</v>
      </c>
      <c r="Q199" s="23">
        <v>25000</v>
      </c>
      <c r="R199" s="23">
        <f>25000-20000</f>
        <v>5000</v>
      </c>
      <c r="S199" s="23">
        <f t="shared" si="297"/>
        <v>-20000</v>
      </c>
      <c r="T199" s="23"/>
      <c r="U199" s="23"/>
      <c r="V199" s="23">
        <f t="shared" si="298"/>
        <v>0</v>
      </c>
      <c r="W199" s="23"/>
      <c r="X199" s="23"/>
      <c r="Y199" s="23">
        <f t="shared" si="299"/>
        <v>0</v>
      </c>
      <c r="Z199" s="23"/>
      <c r="AA199" s="23"/>
      <c r="AB199" s="23">
        <f t="shared" si="300"/>
        <v>0</v>
      </c>
    </row>
    <row r="200" spans="1:28" s="17" customFormat="1" x14ac:dyDescent="0.25">
      <c r="A200" s="15" t="s">
        <v>39</v>
      </c>
      <c r="B200" s="16">
        <f t="shared" si="291"/>
        <v>54520</v>
      </c>
      <c r="C200" s="16">
        <f t="shared" si="292"/>
        <v>77830</v>
      </c>
      <c r="D200" s="16">
        <f t="shared" si="292"/>
        <v>23310</v>
      </c>
      <c r="E200" s="16">
        <f>SUM(E201,E204,E208)</f>
        <v>0</v>
      </c>
      <c r="F200" s="16">
        <f>SUM(F201,F204,F208)</f>
        <v>0</v>
      </c>
      <c r="G200" s="16">
        <f t="shared" si="293"/>
        <v>0</v>
      </c>
      <c r="H200" s="16">
        <f t="shared" ref="H200:Z200" si="343">SUM(H201,H204,H208)</f>
        <v>0</v>
      </c>
      <c r="I200" s="16">
        <f t="shared" ref="I200" si="344">SUM(I201,I204,I208)</f>
        <v>0</v>
      </c>
      <c r="J200" s="16">
        <f t="shared" si="294"/>
        <v>0</v>
      </c>
      <c r="K200" s="16">
        <f t="shared" si="343"/>
        <v>0</v>
      </c>
      <c r="L200" s="16">
        <f t="shared" ref="L200" si="345">SUM(L201,L204,L208)</f>
        <v>0</v>
      </c>
      <c r="M200" s="16">
        <f t="shared" si="295"/>
        <v>0</v>
      </c>
      <c r="N200" s="16">
        <f t="shared" si="343"/>
        <v>0</v>
      </c>
      <c r="O200" s="16">
        <f t="shared" ref="O200" si="346">SUM(O201,O204,O208)</f>
        <v>0</v>
      </c>
      <c r="P200" s="16">
        <f t="shared" si="296"/>
        <v>0</v>
      </c>
      <c r="Q200" s="16">
        <f t="shared" si="343"/>
        <v>54520</v>
      </c>
      <c r="R200" s="16">
        <f t="shared" ref="R200" si="347">SUM(R201,R204,R208)</f>
        <v>77830</v>
      </c>
      <c r="S200" s="16">
        <f t="shared" si="297"/>
        <v>23310</v>
      </c>
      <c r="T200" s="16">
        <f t="shared" si="343"/>
        <v>0</v>
      </c>
      <c r="U200" s="16">
        <f t="shared" ref="U200" si="348">SUM(U201,U204,U208)</f>
        <v>0</v>
      </c>
      <c r="V200" s="16">
        <f t="shared" si="298"/>
        <v>0</v>
      </c>
      <c r="W200" s="16">
        <f t="shared" ref="W200" si="349">SUM(W201,W204,W208)</f>
        <v>0</v>
      </c>
      <c r="X200" s="16">
        <f t="shared" ref="X200" si="350">SUM(X201,X204,X208)</f>
        <v>0</v>
      </c>
      <c r="Y200" s="16">
        <f t="shared" si="299"/>
        <v>0</v>
      </c>
      <c r="Z200" s="16">
        <f t="shared" si="343"/>
        <v>0</v>
      </c>
      <c r="AA200" s="16">
        <f t="shared" ref="AA200" si="351">SUM(AA201,AA204,AA208)</f>
        <v>0</v>
      </c>
      <c r="AB200" s="16">
        <f t="shared" si="300"/>
        <v>0</v>
      </c>
    </row>
    <row r="201" spans="1:28" s="17" customFormat="1" x14ac:dyDescent="0.25">
      <c r="A201" s="15" t="s">
        <v>105</v>
      </c>
      <c r="B201" s="16">
        <f t="shared" si="291"/>
        <v>8586</v>
      </c>
      <c r="C201" s="16">
        <f t="shared" si="292"/>
        <v>8586</v>
      </c>
      <c r="D201" s="16">
        <f t="shared" si="292"/>
        <v>0</v>
      </c>
      <c r="E201" s="16">
        <f t="shared" ref="E201:Z201" si="352">SUM(E202:E203)</f>
        <v>0</v>
      </c>
      <c r="F201" s="16">
        <f t="shared" ref="F201" si="353">SUM(F202:F203)</f>
        <v>0</v>
      </c>
      <c r="G201" s="16">
        <f t="shared" si="293"/>
        <v>0</v>
      </c>
      <c r="H201" s="16">
        <f t="shared" si="352"/>
        <v>0</v>
      </c>
      <c r="I201" s="16">
        <f t="shared" ref="I201" si="354">SUM(I202:I203)</f>
        <v>0</v>
      </c>
      <c r="J201" s="16">
        <f t="shared" si="294"/>
        <v>0</v>
      </c>
      <c r="K201" s="16">
        <f t="shared" si="352"/>
        <v>0</v>
      </c>
      <c r="L201" s="16">
        <f t="shared" ref="L201" si="355">SUM(L202:L203)</f>
        <v>0</v>
      </c>
      <c r="M201" s="16">
        <f t="shared" si="295"/>
        <v>0</v>
      </c>
      <c r="N201" s="16">
        <f t="shared" si="352"/>
        <v>0</v>
      </c>
      <c r="O201" s="16">
        <f t="shared" ref="O201" si="356">SUM(O202:O203)</f>
        <v>0</v>
      </c>
      <c r="P201" s="16">
        <f t="shared" si="296"/>
        <v>0</v>
      </c>
      <c r="Q201" s="16">
        <f t="shared" si="352"/>
        <v>8586</v>
      </c>
      <c r="R201" s="16">
        <f t="shared" ref="R201" si="357">SUM(R202:R203)</f>
        <v>8586</v>
      </c>
      <c r="S201" s="16">
        <f t="shared" si="297"/>
        <v>0</v>
      </c>
      <c r="T201" s="16">
        <f t="shared" si="352"/>
        <v>0</v>
      </c>
      <c r="U201" s="16">
        <f t="shared" ref="U201" si="358">SUM(U202:U203)</f>
        <v>0</v>
      </c>
      <c r="V201" s="16">
        <f t="shared" si="298"/>
        <v>0</v>
      </c>
      <c r="W201" s="16">
        <f t="shared" ref="W201" si="359">SUM(W202:W203)</f>
        <v>0</v>
      </c>
      <c r="X201" s="16">
        <f t="shared" ref="X201" si="360">SUM(X202:X203)</f>
        <v>0</v>
      </c>
      <c r="Y201" s="16">
        <f t="shared" si="299"/>
        <v>0</v>
      </c>
      <c r="Z201" s="16">
        <f t="shared" si="352"/>
        <v>0</v>
      </c>
      <c r="AA201" s="16">
        <f t="shared" ref="AA201" si="361">SUM(AA202:AA203)</f>
        <v>0</v>
      </c>
      <c r="AB201" s="16">
        <f t="shared" si="300"/>
        <v>0</v>
      </c>
    </row>
    <row r="202" spans="1:28" s="17" customFormat="1" x14ac:dyDescent="0.25">
      <c r="A202" s="22" t="s">
        <v>133</v>
      </c>
      <c r="B202" s="23">
        <f t="shared" si="291"/>
        <v>1944</v>
      </c>
      <c r="C202" s="23">
        <f t="shared" si="292"/>
        <v>1944</v>
      </c>
      <c r="D202" s="23">
        <f t="shared" si="292"/>
        <v>0</v>
      </c>
      <c r="E202" s="23"/>
      <c r="F202" s="23"/>
      <c r="G202" s="23">
        <f t="shared" si="293"/>
        <v>0</v>
      </c>
      <c r="H202" s="23"/>
      <c r="I202" s="23"/>
      <c r="J202" s="23">
        <f t="shared" si="294"/>
        <v>0</v>
      </c>
      <c r="K202" s="23"/>
      <c r="L202" s="23"/>
      <c r="M202" s="23">
        <f t="shared" si="295"/>
        <v>0</v>
      </c>
      <c r="N202" s="23"/>
      <c r="O202" s="23"/>
      <c r="P202" s="23">
        <f t="shared" si="296"/>
        <v>0</v>
      </c>
      <c r="Q202" s="23">
        <v>1944</v>
      </c>
      <c r="R202" s="23">
        <v>1944</v>
      </c>
      <c r="S202" s="23">
        <f t="shared" si="297"/>
        <v>0</v>
      </c>
      <c r="T202" s="23"/>
      <c r="U202" s="23"/>
      <c r="V202" s="23">
        <f t="shared" si="298"/>
        <v>0</v>
      </c>
      <c r="W202" s="23"/>
      <c r="X202" s="23"/>
      <c r="Y202" s="23">
        <f t="shared" si="299"/>
        <v>0</v>
      </c>
      <c r="Z202" s="23"/>
      <c r="AA202" s="23"/>
      <c r="AB202" s="23">
        <f t="shared" si="300"/>
        <v>0</v>
      </c>
    </row>
    <row r="203" spans="1:28" s="17" customFormat="1" x14ac:dyDescent="0.25">
      <c r="A203" s="22" t="s">
        <v>134</v>
      </c>
      <c r="B203" s="23">
        <f t="shared" si="291"/>
        <v>6642</v>
      </c>
      <c r="C203" s="23">
        <f t="shared" si="292"/>
        <v>6642</v>
      </c>
      <c r="D203" s="23">
        <f t="shared" si="292"/>
        <v>0</v>
      </c>
      <c r="E203" s="23"/>
      <c r="F203" s="23"/>
      <c r="G203" s="23">
        <f t="shared" si="293"/>
        <v>0</v>
      </c>
      <c r="H203" s="23"/>
      <c r="I203" s="23"/>
      <c r="J203" s="23">
        <f t="shared" si="294"/>
        <v>0</v>
      </c>
      <c r="K203" s="23"/>
      <c r="L203" s="23"/>
      <c r="M203" s="23">
        <f t="shared" si="295"/>
        <v>0</v>
      </c>
      <c r="N203" s="23"/>
      <c r="O203" s="23"/>
      <c r="P203" s="23">
        <f t="shared" si="296"/>
        <v>0</v>
      </c>
      <c r="Q203" s="23">
        <v>6642</v>
      </c>
      <c r="R203" s="23">
        <v>6642</v>
      </c>
      <c r="S203" s="23">
        <f t="shared" si="297"/>
        <v>0</v>
      </c>
      <c r="T203" s="23"/>
      <c r="U203" s="23"/>
      <c r="V203" s="23">
        <f t="shared" si="298"/>
        <v>0</v>
      </c>
      <c r="W203" s="23"/>
      <c r="X203" s="23"/>
      <c r="Y203" s="23">
        <f t="shared" si="299"/>
        <v>0</v>
      </c>
      <c r="Z203" s="23"/>
      <c r="AA203" s="23"/>
      <c r="AB203" s="23">
        <f t="shared" si="300"/>
        <v>0</v>
      </c>
    </row>
    <row r="204" spans="1:28" s="17" customFormat="1" ht="31.5" x14ac:dyDescent="0.25">
      <c r="A204" s="15" t="s">
        <v>111</v>
      </c>
      <c r="B204" s="16">
        <f t="shared" si="291"/>
        <v>5934</v>
      </c>
      <c r="C204" s="16">
        <f t="shared" ref="C204:D220" si="362">F204+I204+L204+O204+R204+U204+AA204</f>
        <v>29244</v>
      </c>
      <c r="D204" s="16">
        <f t="shared" si="362"/>
        <v>23310</v>
      </c>
      <c r="E204" s="16">
        <f t="shared" ref="E204:Z204" si="363">SUM(E205:E207)</f>
        <v>0</v>
      </c>
      <c r="F204" s="16">
        <f t="shared" ref="F204" si="364">SUM(F205:F207)</f>
        <v>0</v>
      </c>
      <c r="G204" s="16">
        <f t="shared" si="293"/>
        <v>0</v>
      </c>
      <c r="H204" s="16">
        <f t="shared" si="363"/>
        <v>0</v>
      </c>
      <c r="I204" s="16">
        <f t="shared" ref="I204" si="365">SUM(I205:I207)</f>
        <v>0</v>
      </c>
      <c r="J204" s="16">
        <f t="shared" si="294"/>
        <v>0</v>
      </c>
      <c r="K204" s="16">
        <f t="shared" si="363"/>
        <v>0</v>
      </c>
      <c r="L204" s="16">
        <f t="shared" ref="L204" si="366">SUM(L205:L207)</f>
        <v>0</v>
      </c>
      <c r="M204" s="16">
        <f t="shared" si="295"/>
        <v>0</v>
      </c>
      <c r="N204" s="16">
        <f t="shared" si="363"/>
        <v>0</v>
      </c>
      <c r="O204" s="16">
        <f t="shared" ref="O204" si="367">SUM(O205:O207)</f>
        <v>0</v>
      </c>
      <c r="P204" s="16">
        <f t="shared" si="296"/>
        <v>0</v>
      </c>
      <c r="Q204" s="16">
        <f t="shared" si="363"/>
        <v>5934</v>
      </c>
      <c r="R204" s="16">
        <f t="shared" ref="R204" si="368">SUM(R205:R207)</f>
        <v>29244</v>
      </c>
      <c r="S204" s="16">
        <f t="shared" si="297"/>
        <v>23310</v>
      </c>
      <c r="T204" s="16">
        <f t="shared" si="363"/>
        <v>0</v>
      </c>
      <c r="U204" s="16">
        <f t="shared" ref="U204" si="369">SUM(U205:U207)</f>
        <v>0</v>
      </c>
      <c r="V204" s="16">
        <f t="shared" si="298"/>
        <v>0</v>
      </c>
      <c r="W204" s="16">
        <f t="shared" ref="W204" si="370">SUM(W205:W207)</f>
        <v>0</v>
      </c>
      <c r="X204" s="16">
        <f t="shared" ref="X204" si="371">SUM(X205:X207)</f>
        <v>0</v>
      </c>
      <c r="Y204" s="16">
        <f t="shared" si="299"/>
        <v>0</v>
      </c>
      <c r="Z204" s="16">
        <f t="shared" si="363"/>
        <v>0</v>
      </c>
      <c r="AA204" s="16">
        <f t="shared" ref="AA204" si="372">SUM(AA205:AA207)</f>
        <v>0</v>
      </c>
      <c r="AB204" s="16">
        <f t="shared" si="300"/>
        <v>0</v>
      </c>
    </row>
    <row r="205" spans="1:28" s="17" customFormat="1" ht="31.5" x14ac:dyDescent="0.25">
      <c r="A205" s="22" t="s">
        <v>135</v>
      </c>
      <c r="B205" s="23">
        <f t="shared" si="291"/>
        <v>4434</v>
      </c>
      <c r="C205" s="23">
        <f t="shared" si="362"/>
        <v>4434</v>
      </c>
      <c r="D205" s="23">
        <f t="shared" si="362"/>
        <v>0</v>
      </c>
      <c r="E205" s="23"/>
      <c r="F205" s="23"/>
      <c r="G205" s="23">
        <f t="shared" si="293"/>
        <v>0</v>
      </c>
      <c r="H205" s="23"/>
      <c r="I205" s="23"/>
      <c r="J205" s="23">
        <f t="shared" si="294"/>
        <v>0</v>
      </c>
      <c r="K205" s="23"/>
      <c r="L205" s="23"/>
      <c r="M205" s="23">
        <f t="shared" si="295"/>
        <v>0</v>
      </c>
      <c r="N205" s="23"/>
      <c r="O205" s="23"/>
      <c r="P205" s="23">
        <f t="shared" si="296"/>
        <v>0</v>
      </c>
      <c r="Q205" s="23">
        <f>1065+3369</f>
        <v>4434</v>
      </c>
      <c r="R205" s="23">
        <f>1065+3369</f>
        <v>4434</v>
      </c>
      <c r="S205" s="23">
        <f t="shared" si="297"/>
        <v>0</v>
      </c>
      <c r="T205" s="23"/>
      <c r="U205" s="23"/>
      <c r="V205" s="23">
        <f t="shared" si="298"/>
        <v>0</v>
      </c>
      <c r="W205" s="23"/>
      <c r="X205" s="23"/>
      <c r="Y205" s="23">
        <f t="shared" si="299"/>
        <v>0</v>
      </c>
      <c r="Z205" s="23"/>
      <c r="AA205" s="23"/>
      <c r="AB205" s="23">
        <f t="shared" si="300"/>
        <v>0</v>
      </c>
    </row>
    <row r="206" spans="1:28" s="17" customFormat="1" ht="31.5" x14ac:dyDescent="0.25">
      <c r="A206" s="22" t="s">
        <v>232</v>
      </c>
      <c r="B206" s="23">
        <f t="shared" ref="B206" si="373">E206+H206+K206+N206+Q206+T206+Z206</f>
        <v>0</v>
      </c>
      <c r="C206" s="23">
        <f t="shared" ref="C206" si="374">F206+I206+L206+O206+R206+U206+AA206</f>
        <v>23310</v>
      </c>
      <c r="D206" s="23">
        <f t="shared" ref="D206" si="375">G206+J206+M206+P206+S206+V206+AB206</f>
        <v>23310</v>
      </c>
      <c r="E206" s="23"/>
      <c r="F206" s="23"/>
      <c r="G206" s="23">
        <f t="shared" ref="G206" si="376">F206-E206</f>
        <v>0</v>
      </c>
      <c r="H206" s="23"/>
      <c r="I206" s="23"/>
      <c r="J206" s="23">
        <f t="shared" ref="J206" si="377">I206-H206</f>
        <v>0</v>
      </c>
      <c r="K206" s="23"/>
      <c r="L206" s="23"/>
      <c r="M206" s="23">
        <f t="shared" ref="M206" si="378">L206-K206</f>
        <v>0</v>
      </c>
      <c r="N206" s="23"/>
      <c r="O206" s="23"/>
      <c r="P206" s="23">
        <f t="shared" ref="P206" si="379">O206-N206</f>
        <v>0</v>
      </c>
      <c r="Q206" s="23"/>
      <c r="R206" s="23">
        <v>23310</v>
      </c>
      <c r="S206" s="23">
        <f t="shared" ref="S206" si="380">R206-Q206</f>
        <v>23310</v>
      </c>
      <c r="T206" s="23"/>
      <c r="U206" s="23"/>
      <c r="V206" s="23">
        <f t="shared" ref="V206" si="381">U206-T206</f>
        <v>0</v>
      </c>
      <c r="W206" s="23"/>
      <c r="X206" s="23"/>
      <c r="Y206" s="23">
        <f t="shared" ref="Y206" si="382">X206-W206</f>
        <v>0</v>
      </c>
      <c r="Z206" s="23"/>
      <c r="AA206" s="23"/>
      <c r="AB206" s="23">
        <f t="shared" ref="AB206" si="383">AA206-Z206</f>
        <v>0</v>
      </c>
    </row>
    <row r="207" spans="1:28" s="17" customFormat="1" x14ac:dyDescent="0.25">
      <c r="A207" s="22" t="s">
        <v>136</v>
      </c>
      <c r="B207" s="23">
        <f t="shared" si="291"/>
        <v>1500</v>
      </c>
      <c r="C207" s="23">
        <f t="shared" si="362"/>
        <v>1500</v>
      </c>
      <c r="D207" s="23">
        <f t="shared" si="362"/>
        <v>0</v>
      </c>
      <c r="E207" s="23"/>
      <c r="F207" s="23"/>
      <c r="G207" s="23">
        <f t="shared" si="293"/>
        <v>0</v>
      </c>
      <c r="H207" s="23"/>
      <c r="I207" s="23"/>
      <c r="J207" s="23">
        <f t="shared" si="294"/>
        <v>0</v>
      </c>
      <c r="K207" s="23"/>
      <c r="L207" s="23"/>
      <c r="M207" s="23">
        <f t="shared" si="295"/>
        <v>0</v>
      </c>
      <c r="N207" s="23"/>
      <c r="O207" s="23"/>
      <c r="P207" s="23">
        <f t="shared" si="296"/>
        <v>0</v>
      </c>
      <c r="Q207" s="23">
        <v>1500</v>
      </c>
      <c r="R207" s="23">
        <v>1500</v>
      </c>
      <c r="S207" s="23">
        <f t="shared" si="297"/>
        <v>0</v>
      </c>
      <c r="T207" s="23"/>
      <c r="U207" s="23"/>
      <c r="V207" s="23">
        <f t="shared" si="298"/>
        <v>0</v>
      </c>
      <c r="W207" s="23"/>
      <c r="X207" s="23"/>
      <c r="Y207" s="23">
        <f t="shared" si="299"/>
        <v>0</v>
      </c>
      <c r="Z207" s="23"/>
      <c r="AA207" s="23"/>
      <c r="AB207" s="23">
        <f t="shared" si="300"/>
        <v>0</v>
      </c>
    </row>
    <row r="208" spans="1:28" s="17" customFormat="1" x14ac:dyDescent="0.25">
      <c r="A208" s="15" t="s">
        <v>114</v>
      </c>
      <c r="B208" s="16">
        <f t="shared" si="291"/>
        <v>40000</v>
      </c>
      <c r="C208" s="16">
        <f t="shared" si="362"/>
        <v>40000</v>
      </c>
      <c r="D208" s="16">
        <f t="shared" si="362"/>
        <v>0</v>
      </c>
      <c r="E208" s="16">
        <f t="shared" ref="E208:AA208" si="384">SUM(E209)</f>
        <v>0</v>
      </c>
      <c r="F208" s="16">
        <f t="shared" si="384"/>
        <v>0</v>
      </c>
      <c r="G208" s="16">
        <f t="shared" si="293"/>
        <v>0</v>
      </c>
      <c r="H208" s="16">
        <f t="shared" si="384"/>
        <v>0</v>
      </c>
      <c r="I208" s="16">
        <f t="shared" si="384"/>
        <v>0</v>
      </c>
      <c r="J208" s="16">
        <f t="shared" si="294"/>
        <v>0</v>
      </c>
      <c r="K208" s="16">
        <f t="shared" si="384"/>
        <v>0</v>
      </c>
      <c r="L208" s="16">
        <f t="shared" si="384"/>
        <v>0</v>
      </c>
      <c r="M208" s="16">
        <f t="shared" si="295"/>
        <v>0</v>
      </c>
      <c r="N208" s="16">
        <f t="shared" si="384"/>
        <v>0</v>
      </c>
      <c r="O208" s="16">
        <f t="shared" si="384"/>
        <v>0</v>
      </c>
      <c r="P208" s="16">
        <f t="shared" si="296"/>
        <v>0</v>
      </c>
      <c r="Q208" s="16">
        <f t="shared" si="384"/>
        <v>40000</v>
      </c>
      <c r="R208" s="16">
        <f t="shared" si="384"/>
        <v>40000</v>
      </c>
      <c r="S208" s="16">
        <f t="shared" si="297"/>
        <v>0</v>
      </c>
      <c r="T208" s="16">
        <f t="shared" si="384"/>
        <v>0</v>
      </c>
      <c r="U208" s="16">
        <f t="shared" si="384"/>
        <v>0</v>
      </c>
      <c r="V208" s="16">
        <f t="shared" si="298"/>
        <v>0</v>
      </c>
      <c r="W208" s="16">
        <f t="shared" si="384"/>
        <v>0</v>
      </c>
      <c r="X208" s="16">
        <f t="shared" si="384"/>
        <v>0</v>
      </c>
      <c r="Y208" s="16">
        <f t="shared" si="299"/>
        <v>0</v>
      </c>
      <c r="Z208" s="16">
        <f t="shared" si="384"/>
        <v>0</v>
      </c>
      <c r="AA208" s="16">
        <f t="shared" si="384"/>
        <v>0</v>
      </c>
      <c r="AB208" s="16">
        <f t="shared" si="300"/>
        <v>0</v>
      </c>
    </row>
    <row r="209" spans="1:189" s="14" customFormat="1" x14ac:dyDescent="0.25">
      <c r="A209" s="27" t="s">
        <v>137</v>
      </c>
      <c r="B209" s="23">
        <f t="shared" si="291"/>
        <v>40000</v>
      </c>
      <c r="C209" s="23">
        <f t="shared" si="362"/>
        <v>40000</v>
      </c>
      <c r="D209" s="23">
        <f t="shared" si="362"/>
        <v>0</v>
      </c>
      <c r="E209" s="23"/>
      <c r="F209" s="23"/>
      <c r="G209" s="23">
        <f t="shared" si="293"/>
        <v>0</v>
      </c>
      <c r="H209" s="23"/>
      <c r="I209" s="23"/>
      <c r="J209" s="23">
        <f t="shared" si="294"/>
        <v>0</v>
      </c>
      <c r="K209" s="23"/>
      <c r="L209" s="23"/>
      <c r="M209" s="23">
        <f t="shared" si="295"/>
        <v>0</v>
      </c>
      <c r="N209" s="23"/>
      <c r="O209" s="23"/>
      <c r="P209" s="23">
        <f t="shared" si="296"/>
        <v>0</v>
      </c>
      <c r="Q209" s="23">
        <v>40000</v>
      </c>
      <c r="R209" s="23">
        <v>40000</v>
      </c>
      <c r="S209" s="23">
        <f t="shared" si="297"/>
        <v>0</v>
      </c>
      <c r="T209" s="23"/>
      <c r="U209" s="23"/>
      <c r="V209" s="23">
        <f t="shared" si="298"/>
        <v>0</v>
      </c>
      <c r="W209" s="23"/>
      <c r="X209" s="23"/>
      <c r="Y209" s="23">
        <f t="shared" si="299"/>
        <v>0</v>
      </c>
      <c r="Z209" s="23"/>
      <c r="AA209" s="23"/>
      <c r="AB209" s="23">
        <f t="shared" si="300"/>
        <v>0</v>
      </c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</row>
    <row r="210" spans="1:189" s="17" customFormat="1" ht="31.5" x14ac:dyDescent="0.25">
      <c r="A210" s="15" t="s">
        <v>42</v>
      </c>
      <c r="B210" s="16">
        <f t="shared" si="291"/>
        <v>682410</v>
      </c>
      <c r="C210" s="16">
        <f t="shared" si="362"/>
        <v>683834</v>
      </c>
      <c r="D210" s="16">
        <f t="shared" si="362"/>
        <v>1424</v>
      </c>
      <c r="E210" s="16">
        <f>SUM(E211,E218,E223,E227,E230,E233)</f>
        <v>0</v>
      </c>
      <c r="F210" s="16">
        <f>SUM(F211,F218,F223,F227,F230,F233)</f>
        <v>0</v>
      </c>
      <c r="G210" s="16">
        <f t="shared" si="293"/>
        <v>0</v>
      </c>
      <c r="H210" s="16">
        <f t="shared" ref="H210:Z210" si="385">SUM(H211,H218,H223,H227,H230,H233)</f>
        <v>27000</v>
      </c>
      <c r="I210" s="16">
        <f t="shared" ref="I210" si="386">SUM(I211,I218,I223,I227,I230,I233)</f>
        <v>27000</v>
      </c>
      <c r="J210" s="16">
        <f t="shared" si="294"/>
        <v>0</v>
      </c>
      <c r="K210" s="16">
        <f t="shared" si="385"/>
        <v>1330</v>
      </c>
      <c r="L210" s="16">
        <f t="shared" ref="L210" si="387">SUM(L211,L218,L223,L227,L230,L233)</f>
        <v>2754</v>
      </c>
      <c r="M210" s="16">
        <f t="shared" si="295"/>
        <v>1424</v>
      </c>
      <c r="N210" s="16">
        <f t="shared" si="385"/>
        <v>636654</v>
      </c>
      <c r="O210" s="16">
        <f t="shared" ref="O210" si="388">SUM(O211,O218,O223,O227,O230,O233)</f>
        <v>636654</v>
      </c>
      <c r="P210" s="16">
        <f t="shared" si="296"/>
        <v>0</v>
      </c>
      <c r="Q210" s="16">
        <f t="shared" si="385"/>
        <v>17426</v>
      </c>
      <c r="R210" s="16">
        <f t="shared" ref="R210" si="389">SUM(R211,R218,R223,R227,R230,R233)</f>
        <v>17426</v>
      </c>
      <c r="S210" s="16">
        <f t="shared" si="297"/>
        <v>0</v>
      </c>
      <c r="T210" s="16">
        <f t="shared" si="385"/>
        <v>0</v>
      </c>
      <c r="U210" s="16">
        <f t="shared" ref="U210" si="390">SUM(U211,U218,U223,U227,U230,U233)</f>
        <v>0</v>
      </c>
      <c r="V210" s="16">
        <f t="shared" si="298"/>
        <v>0</v>
      </c>
      <c r="W210" s="16">
        <f t="shared" ref="W210" si="391">SUM(W211,W218,W223,W227,W230,W233)</f>
        <v>0</v>
      </c>
      <c r="X210" s="16">
        <f t="shared" ref="X210" si="392">SUM(X211,X218,X223,X227,X230,X233)</f>
        <v>0</v>
      </c>
      <c r="Y210" s="16">
        <f t="shared" si="299"/>
        <v>0</v>
      </c>
      <c r="Z210" s="16">
        <f t="shared" si="385"/>
        <v>0</v>
      </c>
      <c r="AA210" s="16">
        <f t="shared" ref="AA210" si="393">SUM(AA211,AA218,AA223,AA227,AA230,AA233)</f>
        <v>0</v>
      </c>
      <c r="AB210" s="16">
        <f t="shared" si="300"/>
        <v>0</v>
      </c>
    </row>
    <row r="211" spans="1:189" s="17" customFormat="1" x14ac:dyDescent="0.25">
      <c r="A211" s="15" t="s">
        <v>105</v>
      </c>
      <c r="B211" s="16">
        <f t="shared" si="291"/>
        <v>18930</v>
      </c>
      <c r="C211" s="16">
        <f t="shared" si="362"/>
        <v>20354</v>
      </c>
      <c r="D211" s="16">
        <f t="shared" si="362"/>
        <v>1424</v>
      </c>
      <c r="E211" s="16">
        <f t="shared" ref="E211:Z211" si="394">SUM(E212:E217)</f>
        <v>0</v>
      </c>
      <c r="F211" s="16">
        <f t="shared" ref="F211" si="395">SUM(F212:F217)</f>
        <v>0</v>
      </c>
      <c r="G211" s="16">
        <f t="shared" si="293"/>
        <v>0</v>
      </c>
      <c r="H211" s="16">
        <f t="shared" si="394"/>
        <v>0</v>
      </c>
      <c r="I211" s="16">
        <f t="shared" ref="I211" si="396">SUM(I212:I217)</f>
        <v>0</v>
      </c>
      <c r="J211" s="16">
        <f t="shared" si="294"/>
        <v>0</v>
      </c>
      <c r="K211" s="16">
        <f t="shared" si="394"/>
        <v>1330</v>
      </c>
      <c r="L211" s="16">
        <f t="shared" ref="L211" si="397">SUM(L212:L217)</f>
        <v>2754</v>
      </c>
      <c r="M211" s="16">
        <f t="shared" si="295"/>
        <v>1424</v>
      </c>
      <c r="N211" s="16">
        <f t="shared" si="394"/>
        <v>11980</v>
      </c>
      <c r="O211" s="16">
        <f t="shared" ref="O211" si="398">SUM(O212:O217)</f>
        <v>11980</v>
      </c>
      <c r="P211" s="16">
        <f t="shared" si="296"/>
        <v>0</v>
      </c>
      <c r="Q211" s="16">
        <f t="shared" si="394"/>
        <v>5620</v>
      </c>
      <c r="R211" s="16">
        <f t="shared" ref="R211" si="399">SUM(R212:R217)</f>
        <v>5620</v>
      </c>
      <c r="S211" s="16">
        <f t="shared" si="297"/>
        <v>0</v>
      </c>
      <c r="T211" s="16">
        <f t="shared" si="394"/>
        <v>0</v>
      </c>
      <c r="U211" s="16">
        <f t="shared" ref="U211" si="400">SUM(U212:U217)</f>
        <v>0</v>
      </c>
      <c r="V211" s="16">
        <f t="shared" si="298"/>
        <v>0</v>
      </c>
      <c r="W211" s="16">
        <f t="shared" ref="W211" si="401">SUM(W212:W217)</f>
        <v>0</v>
      </c>
      <c r="X211" s="16">
        <f t="shared" ref="X211" si="402">SUM(X212:X217)</f>
        <v>0</v>
      </c>
      <c r="Y211" s="16">
        <f t="shared" si="299"/>
        <v>0</v>
      </c>
      <c r="Z211" s="16">
        <f t="shared" si="394"/>
        <v>0</v>
      </c>
      <c r="AA211" s="16">
        <f t="shared" ref="AA211" si="403">SUM(AA212:AA217)</f>
        <v>0</v>
      </c>
      <c r="AB211" s="16">
        <f t="shared" si="300"/>
        <v>0</v>
      </c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</row>
    <row r="212" spans="1:189" s="17" customFormat="1" ht="31.5" x14ac:dyDescent="0.25">
      <c r="A212" s="22" t="s">
        <v>138</v>
      </c>
      <c r="B212" s="23">
        <f t="shared" si="291"/>
        <v>1330</v>
      </c>
      <c r="C212" s="23">
        <f t="shared" si="362"/>
        <v>2754</v>
      </c>
      <c r="D212" s="23">
        <f t="shared" si="362"/>
        <v>1424</v>
      </c>
      <c r="E212" s="23"/>
      <c r="F212" s="23"/>
      <c r="G212" s="23">
        <f t="shared" si="293"/>
        <v>0</v>
      </c>
      <c r="H212" s="23"/>
      <c r="I212" s="23"/>
      <c r="J212" s="23">
        <f t="shared" si="294"/>
        <v>0</v>
      </c>
      <c r="K212" s="23">
        <v>1330</v>
      </c>
      <c r="L212" s="23">
        <f>1330+1424</f>
        <v>2754</v>
      </c>
      <c r="M212" s="23">
        <f t="shared" si="295"/>
        <v>1424</v>
      </c>
      <c r="N212" s="23"/>
      <c r="O212" s="23"/>
      <c r="P212" s="23">
        <f t="shared" si="296"/>
        <v>0</v>
      </c>
      <c r="Q212" s="23"/>
      <c r="R212" s="23"/>
      <c r="S212" s="23">
        <f t="shared" si="297"/>
        <v>0</v>
      </c>
      <c r="T212" s="23"/>
      <c r="U212" s="23"/>
      <c r="V212" s="23">
        <f t="shared" si="298"/>
        <v>0</v>
      </c>
      <c r="W212" s="23"/>
      <c r="X212" s="23"/>
      <c r="Y212" s="23">
        <f t="shared" si="299"/>
        <v>0</v>
      </c>
      <c r="Z212" s="23"/>
      <c r="AA212" s="23"/>
      <c r="AB212" s="23">
        <f t="shared" si="300"/>
        <v>0</v>
      </c>
    </row>
    <row r="213" spans="1:189" s="14" customFormat="1" x14ac:dyDescent="0.25">
      <c r="A213" s="24" t="s">
        <v>139</v>
      </c>
      <c r="B213" s="26">
        <f t="shared" si="291"/>
        <v>726</v>
      </c>
      <c r="C213" s="26">
        <f t="shared" si="362"/>
        <v>726</v>
      </c>
      <c r="D213" s="26">
        <f t="shared" si="362"/>
        <v>0</v>
      </c>
      <c r="E213" s="26"/>
      <c r="F213" s="26"/>
      <c r="G213" s="26">
        <f t="shared" si="293"/>
        <v>0</v>
      </c>
      <c r="H213" s="26"/>
      <c r="I213" s="26"/>
      <c r="J213" s="26">
        <f t="shared" si="294"/>
        <v>0</v>
      </c>
      <c r="K213" s="26"/>
      <c r="L213" s="26"/>
      <c r="M213" s="26">
        <f t="shared" si="295"/>
        <v>0</v>
      </c>
      <c r="N213" s="26"/>
      <c r="O213" s="26"/>
      <c r="P213" s="26">
        <f t="shared" si="296"/>
        <v>0</v>
      </c>
      <c r="Q213" s="26">
        <v>726</v>
      </c>
      <c r="R213" s="26">
        <v>726</v>
      </c>
      <c r="S213" s="26">
        <f t="shared" si="297"/>
        <v>0</v>
      </c>
      <c r="T213" s="26"/>
      <c r="U213" s="26"/>
      <c r="V213" s="26">
        <f t="shared" si="298"/>
        <v>0</v>
      </c>
      <c r="W213" s="26"/>
      <c r="X213" s="26"/>
      <c r="Y213" s="26">
        <f t="shared" si="299"/>
        <v>0</v>
      </c>
      <c r="Z213" s="26"/>
      <c r="AA213" s="26"/>
      <c r="AB213" s="26">
        <f t="shared" si="300"/>
        <v>0</v>
      </c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  <c r="FY213" s="17"/>
      <c r="FZ213" s="17"/>
      <c r="GA213" s="17"/>
      <c r="GB213" s="17"/>
      <c r="GC213" s="17"/>
      <c r="GD213" s="17"/>
      <c r="GE213" s="17"/>
      <c r="GF213" s="17"/>
      <c r="GG213" s="17"/>
    </row>
    <row r="214" spans="1:189" s="14" customFormat="1" x14ac:dyDescent="0.25">
      <c r="A214" s="24" t="s">
        <v>140</v>
      </c>
      <c r="B214" s="26">
        <f t="shared" si="291"/>
        <v>4894</v>
      </c>
      <c r="C214" s="26">
        <f t="shared" si="362"/>
        <v>4894</v>
      </c>
      <c r="D214" s="26">
        <f t="shared" si="362"/>
        <v>0</v>
      </c>
      <c r="E214" s="26"/>
      <c r="F214" s="26"/>
      <c r="G214" s="26">
        <f t="shared" si="293"/>
        <v>0</v>
      </c>
      <c r="H214" s="26"/>
      <c r="I214" s="26"/>
      <c r="J214" s="26">
        <f t="shared" si="294"/>
        <v>0</v>
      </c>
      <c r="K214" s="26"/>
      <c r="L214" s="26"/>
      <c r="M214" s="26">
        <f t="shared" si="295"/>
        <v>0</v>
      </c>
      <c r="N214" s="26"/>
      <c r="O214" s="26"/>
      <c r="P214" s="26">
        <f t="shared" si="296"/>
        <v>0</v>
      </c>
      <c r="Q214" s="26">
        <v>4894</v>
      </c>
      <c r="R214" s="26">
        <v>4894</v>
      </c>
      <c r="S214" s="26">
        <f t="shared" si="297"/>
        <v>0</v>
      </c>
      <c r="T214" s="26"/>
      <c r="U214" s="26"/>
      <c r="V214" s="26">
        <f t="shared" si="298"/>
        <v>0</v>
      </c>
      <c r="W214" s="26"/>
      <c r="X214" s="26"/>
      <c r="Y214" s="26">
        <f t="shared" si="299"/>
        <v>0</v>
      </c>
      <c r="Z214" s="26"/>
      <c r="AA214" s="26"/>
      <c r="AB214" s="26">
        <f t="shared" si="300"/>
        <v>0</v>
      </c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  <c r="FY214" s="17"/>
      <c r="FZ214" s="17"/>
      <c r="GA214" s="17"/>
      <c r="GB214" s="17"/>
      <c r="GC214" s="17"/>
      <c r="GD214" s="17"/>
      <c r="GE214" s="17"/>
      <c r="GF214" s="17"/>
      <c r="GG214" s="17"/>
    </row>
    <row r="215" spans="1:189" s="17" customFormat="1" ht="78.75" x14ac:dyDescent="0.25">
      <c r="A215" s="27" t="s">
        <v>141</v>
      </c>
      <c r="B215" s="23">
        <f t="shared" si="291"/>
        <v>3480</v>
      </c>
      <c r="C215" s="23">
        <f t="shared" si="362"/>
        <v>3480</v>
      </c>
      <c r="D215" s="23">
        <f t="shared" si="362"/>
        <v>0</v>
      </c>
      <c r="E215" s="23"/>
      <c r="F215" s="23"/>
      <c r="G215" s="23">
        <f t="shared" si="293"/>
        <v>0</v>
      </c>
      <c r="H215" s="23"/>
      <c r="I215" s="23"/>
      <c r="J215" s="23">
        <f t="shared" si="294"/>
        <v>0</v>
      </c>
      <c r="K215" s="23"/>
      <c r="L215" s="23"/>
      <c r="M215" s="23">
        <f t="shared" si="295"/>
        <v>0</v>
      </c>
      <c r="N215" s="26">
        <v>3480</v>
      </c>
      <c r="O215" s="26">
        <v>3480</v>
      </c>
      <c r="P215" s="23">
        <f t="shared" si="296"/>
        <v>0</v>
      </c>
      <c r="Q215" s="23"/>
      <c r="R215" s="23"/>
      <c r="S215" s="23">
        <f t="shared" si="297"/>
        <v>0</v>
      </c>
      <c r="T215" s="23"/>
      <c r="U215" s="23"/>
      <c r="V215" s="23">
        <f t="shared" si="298"/>
        <v>0</v>
      </c>
      <c r="W215" s="23"/>
      <c r="X215" s="23"/>
      <c r="Y215" s="23">
        <f t="shared" si="299"/>
        <v>0</v>
      </c>
      <c r="Z215" s="23"/>
      <c r="AA215" s="23"/>
      <c r="AB215" s="23">
        <f t="shared" si="300"/>
        <v>0</v>
      </c>
    </row>
    <row r="216" spans="1:189" s="17" customFormat="1" ht="94.5" x14ac:dyDescent="0.25">
      <c r="A216" s="24" t="s">
        <v>142</v>
      </c>
      <c r="B216" s="20">
        <f t="shared" si="291"/>
        <v>5500</v>
      </c>
      <c r="C216" s="20">
        <f t="shared" si="362"/>
        <v>5500</v>
      </c>
      <c r="D216" s="20">
        <f t="shared" si="362"/>
        <v>0</v>
      </c>
      <c r="E216" s="20"/>
      <c r="F216" s="20"/>
      <c r="G216" s="20">
        <f t="shared" si="293"/>
        <v>0</v>
      </c>
      <c r="H216" s="20"/>
      <c r="I216" s="20"/>
      <c r="J216" s="20">
        <f t="shared" si="294"/>
        <v>0</v>
      </c>
      <c r="K216" s="20"/>
      <c r="L216" s="20"/>
      <c r="M216" s="20">
        <f t="shared" si="295"/>
        <v>0</v>
      </c>
      <c r="N216" s="20">
        <v>5500</v>
      </c>
      <c r="O216" s="20">
        <v>5500</v>
      </c>
      <c r="P216" s="20">
        <f t="shared" si="296"/>
        <v>0</v>
      </c>
      <c r="Q216" s="20"/>
      <c r="R216" s="20"/>
      <c r="S216" s="20">
        <f t="shared" si="297"/>
        <v>0</v>
      </c>
      <c r="T216" s="20"/>
      <c r="U216" s="20"/>
      <c r="V216" s="20">
        <f t="shared" si="298"/>
        <v>0</v>
      </c>
      <c r="W216" s="20"/>
      <c r="X216" s="20"/>
      <c r="Y216" s="20">
        <f t="shared" si="299"/>
        <v>0</v>
      </c>
      <c r="Z216" s="20"/>
      <c r="AA216" s="20"/>
      <c r="AB216" s="20">
        <f t="shared" si="300"/>
        <v>0</v>
      </c>
    </row>
    <row r="217" spans="1:189" s="17" customFormat="1" ht="63" x14ac:dyDescent="0.25">
      <c r="A217" s="22" t="s">
        <v>143</v>
      </c>
      <c r="B217" s="23">
        <f t="shared" si="291"/>
        <v>3000</v>
      </c>
      <c r="C217" s="23">
        <f t="shared" si="362"/>
        <v>3000</v>
      </c>
      <c r="D217" s="23">
        <f t="shared" si="362"/>
        <v>0</v>
      </c>
      <c r="E217" s="23"/>
      <c r="F217" s="23"/>
      <c r="G217" s="23">
        <f t="shared" si="293"/>
        <v>0</v>
      </c>
      <c r="H217" s="23"/>
      <c r="I217" s="23"/>
      <c r="J217" s="23">
        <f t="shared" si="294"/>
        <v>0</v>
      </c>
      <c r="K217" s="23"/>
      <c r="L217" s="23"/>
      <c r="M217" s="23">
        <f t="shared" si="295"/>
        <v>0</v>
      </c>
      <c r="N217" s="23">
        <v>3000</v>
      </c>
      <c r="O217" s="23">
        <v>3000</v>
      </c>
      <c r="P217" s="23">
        <f t="shared" si="296"/>
        <v>0</v>
      </c>
      <c r="Q217" s="23"/>
      <c r="R217" s="23"/>
      <c r="S217" s="23">
        <f t="shared" si="297"/>
        <v>0</v>
      </c>
      <c r="T217" s="23"/>
      <c r="U217" s="23"/>
      <c r="V217" s="23">
        <f t="shared" si="298"/>
        <v>0</v>
      </c>
      <c r="W217" s="23"/>
      <c r="X217" s="23"/>
      <c r="Y217" s="23">
        <f t="shared" si="299"/>
        <v>0</v>
      </c>
      <c r="Z217" s="23"/>
      <c r="AA217" s="23"/>
      <c r="AB217" s="23">
        <f t="shared" si="300"/>
        <v>0</v>
      </c>
    </row>
    <row r="218" spans="1:189" s="17" customFormat="1" ht="31.5" x14ac:dyDescent="0.25">
      <c r="A218" s="15" t="s">
        <v>111</v>
      </c>
      <c r="B218" s="16">
        <f t="shared" si="291"/>
        <v>235239</v>
      </c>
      <c r="C218" s="16">
        <f t="shared" si="362"/>
        <v>235239</v>
      </c>
      <c r="D218" s="16">
        <f t="shared" si="362"/>
        <v>0</v>
      </c>
      <c r="E218" s="16">
        <f t="shared" ref="E218:Z218" si="404">SUM(E219:E222)</f>
        <v>0</v>
      </c>
      <c r="F218" s="16">
        <f t="shared" ref="F218" si="405">SUM(F219:F222)</f>
        <v>0</v>
      </c>
      <c r="G218" s="16">
        <f t="shared" si="293"/>
        <v>0</v>
      </c>
      <c r="H218" s="16">
        <f t="shared" si="404"/>
        <v>0</v>
      </c>
      <c r="I218" s="16">
        <f t="shared" ref="I218" si="406">SUM(I219:I222)</f>
        <v>0</v>
      </c>
      <c r="J218" s="16">
        <f t="shared" si="294"/>
        <v>0</v>
      </c>
      <c r="K218" s="16">
        <f t="shared" si="404"/>
        <v>0</v>
      </c>
      <c r="L218" s="16">
        <f t="shared" ref="L218" si="407">SUM(L219:L222)</f>
        <v>0</v>
      </c>
      <c r="M218" s="16">
        <f t="shared" si="295"/>
        <v>0</v>
      </c>
      <c r="N218" s="16">
        <f t="shared" si="404"/>
        <v>223433</v>
      </c>
      <c r="O218" s="16">
        <f t="shared" ref="O218" si="408">SUM(O219:O222)</f>
        <v>223433</v>
      </c>
      <c r="P218" s="16">
        <f t="shared" si="296"/>
        <v>0</v>
      </c>
      <c r="Q218" s="16">
        <f t="shared" si="404"/>
        <v>11806</v>
      </c>
      <c r="R218" s="16">
        <f t="shared" ref="R218" si="409">SUM(R219:R222)</f>
        <v>11806</v>
      </c>
      <c r="S218" s="16">
        <f t="shared" si="297"/>
        <v>0</v>
      </c>
      <c r="T218" s="16">
        <f t="shared" si="404"/>
        <v>0</v>
      </c>
      <c r="U218" s="16">
        <f t="shared" ref="U218" si="410">SUM(U219:U222)</f>
        <v>0</v>
      </c>
      <c r="V218" s="16">
        <f t="shared" si="298"/>
        <v>0</v>
      </c>
      <c r="W218" s="16">
        <f t="shared" ref="W218" si="411">SUM(W219:W222)</f>
        <v>0</v>
      </c>
      <c r="X218" s="16">
        <f t="shared" ref="X218" si="412">SUM(X219:X222)</f>
        <v>0</v>
      </c>
      <c r="Y218" s="16">
        <f t="shared" si="299"/>
        <v>0</v>
      </c>
      <c r="Z218" s="16">
        <f t="shared" si="404"/>
        <v>0</v>
      </c>
      <c r="AA218" s="16">
        <f t="shared" ref="AA218" si="413">SUM(AA219:AA222)</f>
        <v>0</v>
      </c>
      <c r="AB218" s="16">
        <f t="shared" si="300"/>
        <v>0</v>
      </c>
    </row>
    <row r="219" spans="1:189" s="17" customFormat="1" ht="78.75" x14ac:dyDescent="0.25">
      <c r="A219" s="24" t="s">
        <v>144</v>
      </c>
      <c r="B219" s="20">
        <f t="shared" si="291"/>
        <v>1600</v>
      </c>
      <c r="C219" s="20">
        <f t="shared" si="362"/>
        <v>1600</v>
      </c>
      <c r="D219" s="20">
        <f t="shared" si="362"/>
        <v>0</v>
      </c>
      <c r="E219" s="20"/>
      <c r="F219" s="20"/>
      <c r="G219" s="20">
        <f t="shared" si="293"/>
        <v>0</v>
      </c>
      <c r="H219" s="20"/>
      <c r="I219" s="20"/>
      <c r="J219" s="20">
        <f t="shared" si="294"/>
        <v>0</v>
      </c>
      <c r="K219" s="20"/>
      <c r="L219" s="20"/>
      <c r="M219" s="20">
        <f t="shared" si="295"/>
        <v>0</v>
      </c>
      <c r="N219" s="20">
        <v>1600</v>
      </c>
      <c r="O219" s="20">
        <v>1600</v>
      </c>
      <c r="P219" s="20">
        <f t="shared" si="296"/>
        <v>0</v>
      </c>
      <c r="Q219" s="20"/>
      <c r="R219" s="20"/>
      <c r="S219" s="20">
        <f t="shared" si="297"/>
        <v>0</v>
      </c>
      <c r="T219" s="20"/>
      <c r="U219" s="20"/>
      <c r="V219" s="20">
        <f t="shared" si="298"/>
        <v>0</v>
      </c>
      <c r="W219" s="20"/>
      <c r="X219" s="20"/>
      <c r="Y219" s="20">
        <f t="shared" si="299"/>
        <v>0</v>
      </c>
      <c r="Z219" s="20"/>
      <c r="AA219" s="20"/>
      <c r="AB219" s="20">
        <f t="shared" si="300"/>
        <v>0</v>
      </c>
    </row>
    <row r="220" spans="1:189" s="17" customFormat="1" ht="110.25" x14ac:dyDescent="0.25">
      <c r="A220" s="27" t="s">
        <v>145</v>
      </c>
      <c r="B220" s="23">
        <f t="shared" si="291"/>
        <v>218085</v>
      </c>
      <c r="C220" s="23">
        <f t="shared" si="362"/>
        <v>218085</v>
      </c>
      <c r="D220" s="23">
        <f t="shared" si="362"/>
        <v>0</v>
      </c>
      <c r="E220" s="23"/>
      <c r="F220" s="23"/>
      <c r="G220" s="23">
        <f t="shared" si="293"/>
        <v>0</v>
      </c>
      <c r="H220" s="23"/>
      <c r="I220" s="23"/>
      <c r="J220" s="23">
        <f t="shared" si="294"/>
        <v>0</v>
      </c>
      <c r="K220" s="23"/>
      <c r="L220" s="23"/>
      <c r="M220" s="23">
        <f t="shared" si="295"/>
        <v>0</v>
      </c>
      <c r="N220" s="23">
        <v>218085</v>
      </c>
      <c r="O220" s="23">
        <v>218085</v>
      </c>
      <c r="P220" s="23">
        <f t="shared" si="296"/>
        <v>0</v>
      </c>
      <c r="Q220" s="23"/>
      <c r="R220" s="23"/>
      <c r="S220" s="23">
        <f t="shared" si="297"/>
        <v>0</v>
      </c>
      <c r="T220" s="23"/>
      <c r="U220" s="23"/>
      <c r="V220" s="23">
        <f t="shared" si="298"/>
        <v>0</v>
      </c>
      <c r="W220" s="23"/>
      <c r="X220" s="23"/>
      <c r="Y220" s="23">
        <f t="shared" si="299"/>
        <v>0</v>
      </c>
      <c r="Z220" s="23"/>
      <c r="AA220" s="23"/>
      <c r="AB220" s="23">
        <f t="shared" si="300"/>
        <v>0</v>
      </c>
    </row>
    <row r="221" spans="1:189" s="14" customFormat="1" ht="63" x14ac:dyDescent="0.25">
      <c r="A221" s="24" t="s">
        <v>146</v>
      </c>
      <c r="B221" s="26">
        <f t="shared" si="291"/>
        <v>3748</v>
      </c>
      <c r="C221" s="26">
        <f t="shared" ref="C221:D236" si="414">F221+I221+L221+O221+R221+U221+AA221</f>
        <v>3748</v>
      </c>
      <c r="D221" s="26">
        <f t="shared" si="414"/>
        <v>0</v>
      </c>
      <c r="E221" s="26"/>
      <c r="F221" s="26"/>
      <c r="G221" s="26">
        <f t="shared" si="293"/>
        <v>0</v>
      </c>
      <c r="H221" s="26"/>
      <c r="I221" s="26"/>
      <c r="J221" s="26">
        <f t="shared" si="294"/>
        <v>0</v>
      </c>
      <c r="K221" s="26"/>
      <c r="L221" s="26"/>
      <c r="M221" s="26">
        <f t="shared" si="295"/>
        <v>0</v>
      </c>
      <c r="N221" s="26">
        <v>3748</v>
      </c>
      <c r="O221" s="26">
        <v>3748</v>
      </c>
      <c r="P221" s="26">
        <f t="shared" si="296"/>
        <v>0</v>
      </c>
      <c r="Q221" s="26"/>
      <c r="R221" s="26"/>
      <c r="S221" s="26">
        <f t="shared" si="297"/>
        <v>0</v>
      </c>
      <c r="T221" s="26"/>
      <c r="U221" s="26"/>
      <c r="V221" s="26">
        <f t="shared" si="298"/>
        <v>0</v>
      </c>
      <c r="W221" s="26"/>
      <c r="X221" s="26"/>
      <c r="Y221" s="26">
        <f t="shared" si="299"/>
        <v>0</v>
      </c>
      <c r="Z221" s="26"/>
      <c r="AA221" s="26"/>
      <c r="AB221" s="26">
        <f t="shared" si="300"/>
        <v>0</v>
      </c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  <c r="FB221" s="17"/>
      <c r="FC221" s="17"/>
      <c r="FD221" s="17"/>
      <c r="FE221" s="17"/>
      <c r="FF221" s="17"/>
      <c r="FG221" s="17"/>
      <c r="FH221" s="17"/>
      <c r="FI221" s="17"/>
      <c r="FJ221" s="17"/>
      <c r="FK221" s="17"/>
      <c r="FL221" s="17"/>
      <c r="FM221" s="17"/>
      <c r="FN221" s="17"/>
      <c r="FO221" s="17"/>
      <c r="FP221" s="17"/>
      <c r="FQ221" s="17"/>
      <c r="FR221" s="17"/>
      <c r="FS221" s="17"/>
      <c r="FT221" s="17"/>
      <c r="FU221" s="17"/>
      <c r="FV221" s="17"/>
      <c r="FW221" s="17"/>
      <c r="FX221" s="17"/>
      <c r="FY221" s="17"/>
      <c r="FZ221" s="17"/>
      <c r="GA221" s="17"/>
      <c r="GB221" s="17"/>
      <c r="GC221" s="17"/>
      <c r="GD221" s="17"/>
      <c r="GE221" s="17"/>
      <c r="GF221" s="17"/>
      <c r="GG221" s="17"/>
    </row>
    <row r="222" spans="1:189" s="17" customFormat="1" x14ac:dyDescent="0.25">
      <c r="A222" s="22" t="s">
        <v>147</v>
      </c>
      <c r="B222" s="23">
        <f t="shared" si="291"/>
        <v>11806</v>
      </c>
      <c r="C222" s="23">
        <f t="shared" si="414"/>
        <v>11806</v>
      </c>
      <c r="D222" s="23">
        <f t="shared" si="414"/>
        <v>0</v>
      </c>
      <c r="E222" s="23"/>
      <c r="F222" s="23"/>
      <c r="G222" s="23">
        <f t="shared" si="293"/>
        <v>0</v>
      </c>
      <c r="H222" s="23"/>
      <c r="I222" s="23"/>
      <c r="J222" s="23">
        <f t="shared" si="294"/>
        <v>0</v>
      </c>
      <c r="K222" s="23"/>
      <c r="L222" s="23"/>
      <c r="M222" s="23">
        <f t="shared" si="295"/>
        <v>0</v>
      </c>
      <c r="N222" s="23"/>
      <c r="O222" s="23"/>
      <c r="P222" s="23">
        <f t="shared" si="296"/>
        <v>0</v>
      </c>
      <c r="Q222" s="23">
        <v>11806</v>
      </c>
      <c r="R222" s="23">
        <v>11806</v>
      </c>
      <c r="S222" s="23">
        <f t="shared" si="297"/>
        <v>0</v>
      </c>
      <c r="T222" s="23"/>
      <c r="U222" s="23"/>
      <c r="V222" s="23">
        <f t="shared" si="298"/>
        <v>0</v>
      </c>
      <c r="W222" s="23"/>
      <c r="X222" s="23"/>
      <c r="Y222" s="23">
        <f t="shared" si="299"/>
        <v>0</v>
      </c>
      <c r="Z222" s="23"/>
      <c r="AA222" s="23"/>
      <c r="AB222" s="23">
        <f t="shared" si="300"/>
        <v>0</v>
      </c>
    </row>
    <row r="223" spans="1:189" s="17" customFormat="1" x14ac:dyDescent="0.25">
      <c r="A223" s="15" t="s">
        <v>114</v>
      </c>
      <c r="B223" s="16">
        <f t="shared" si="291"/>
        <v>181970</v>
      </c>
      <c r="C223" s="16">
        <f t="shared" si="414"/>
        <v>181970</v>
      </c>
      <c r="D223" s="16">
        <f t="shared" si="414"/>
        <v>0</v>
      </c>
      <c r="E223" s="16">
        <f t="shared" ref="E223:Z223" si="415">SUM(E224:E226)</f>
        <v>0</v>
      </c>
      <c r="F223" s="16">
        <f t="shared" ref="F223" si="416">SUM(F224:F226)</f>
        <v>0</v>
      </c>
      <c r="G223" s="16">
        <f t="shared" si="293"/>
        <v>0</v>
      </c>
      <c r="H223" s="16">
        <f t="shared" si="415"/>
        <v>0</v>
      </c>
      <c r="I223" s="16">
        <f t="shared" ref="I223" si="417">SUM(I224:I226)</f>
        <v>0</v>
      </c>
      <c r="J223" s="16">
        <f t="shared" si="294"/>
        <v>0</v>
      </c>
      <c r="K223" s="16">
        <f t="shared" si="415"/>
        <v>0</v>
      </c>
      <c r="L223" s="16">
        <f t="shared" ref="L223" si="418">SUM(L224:L226)</f>
        <v>0</v>
      </c>
      <c r="M223" s="16">
        <f t="shared" si="295"/>
        <v>0</v>
      </c>
      <c r="N223" s="16">
        <f t="shared" si="415"/>
        <v>181970</v>
      </c>
      <c r="O223" s="16">
        <f t="shared" ref="O223" si="419">SUM(O224:O226)</f>
        <v>181970</v>
      </c>
      <c r="P223" s="16">
        <f t="shared" si="296"/>
        <v>0</v>
      </c>
      <c r="Q223" s="16">
        <f t="shared" si="415"/>
        <v>0</v>
      </c>
      <c r="R223" s="16">
        <f t="shared" ref="R223" si="420">SUM(R224:R226)</f>
        <v>0</v>
      </c>
      <c r="S223" s="16">
        <f t="shared" si="297"/>
        <v>0</v>
      </c>
      <c r="T223" s="16">
        <f t="shared" si="415"/>
        <v>0</v>
      </c>
      <c r="U223" s="16">
        <f t="shared" ref="U223" si="421">SUM(U224:U226)</f>
        <v>0</v>
      </c>
      <c r="V223" s="16">
        <f t="shared" si="298"/>
        <v>0</v>
      </c>
      <c r="W223" s="16">
        <f t="shared" ref="W223" si="422">SUM(W224:W226)</f>
        <v>0</v>
      </c>
      <c r="X223" s="16">
        <f t="shared" ref="X223" si="423">SUM(X224:X226)</f>
        <v>0</v>
      </c>
      <c r="Y223" s="16">
        <f t="shared" si="299"/>
        <v>0</v>
      </c>
      <c r="Z223" s="16">
        <f t="shared" si="415"/>
        <v>0</v>
      </c>
      <c r="AA223" s="16">
        <f t="shared" ref="AA223" si="424">SUM(AA224:AA226)</f>
        <v>0</v>
      </c>
      <c r="AB223" s="16">
        <f t="shared" si="300"/>
        <v>0</v>
      </c>
    </row>
    <row r="224" spans="1:189" s="14" customFormat="1" ht="94.5" x14ac:dyDescent="0.25">
      <c r="A224" s="24" t="s">
        <v>148</v>
      </c>
      <c r="B224" s="26">
        <f t="shared" si="291"/>
        <v>75000</v>
      </c>
      <c r="C224" s="26">
        <f t="shared" si="414"/>
        <v>75000</v>
      </c>
      <c r="D224" s="26">
        <f t="shared" si="414"/>
        <v>0</v>
      </c>
      <c r="E224" s="26"/>
      <c r="F224" s="26"/>
      <c r="G224" s="26">
        <f t="shared" si="293"/>
        <v>0</v>
      </c>
      <c r="H224" s="26"/>
      <c r="I224" s="26"/>
      <c r="J224" s="26">
        <f t="shared" si="294"/>
        <v>0</v>
      </c>
      <c r="K224" s="26"/>
      <c r="L224" s="26"/>
      <c r="M224" s="26">
        <f t="shared" si="295"/>
        <v>0</v>
      </c>
      <c r="N224" s="26">
        <v>75000</v>
      </c>
      <c r="O224" s="26">
        <v>75000</v>
      </c>
      <c r="P224" s="26">
        <f t="shared" si="296"/>
        <v>0</v>
      </c>
      <c r="Q224" s="26"/>
      <c r="R224" s="26"/>
      <c r="S224" s="26">
        <f t="shared" si="297"/>
        <v>0</v>
      </c>
      <c r="T224" s="26"/>
      <c r="U224" s="26"/>
      <c r="V224" s="26">
        <f t="shared" si="298"/>
        <v>0</v>
      </c>
      <c r="W224" s="26"/>
      <c r="X224" s="26"/>
      <c r="Y224" s="26">
        <f t="shared" si="299"/>
        <v>0</v>
      </c>
      <c r="Z224" s="26"/>
      <c r="AA224" s="26"/>
      <c r="AB224" s="26">
        <f t="shared" si="300"/>
        <v>0</v>
      </c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  <c r="FD224" s="17"/>
      <c r="FE224" s="17"/>
      <c r="FF224" s="17"/>
      <c r="FG224" s="17"/>
      <c r="FH224" s="17"/>
      <c r="FI224" s="17"/>
      <c r="FJ224" s="17"/>
      <c r="FK224" s="17"/>
      <c r="FL224" s="17"/>
      <c r="FM224" s="17"/>
      <c r="FN224" s="17"/>
      <c r="FO224" s="17"/>
      <c r="FP224" s="17"/>
      <c r="FQ224" s="17"/>
      <c r="FR224" s="17"/>
      <c r="FS224" s="17"/>
      <c r="FT224" s="17"/>
      <c r="FU224" s="17"/>
      <c r="FV224" s="17"/>
      <c r="FW224" s="17"/>
      <c r="FX224" s="17"/>
      <c r="FY224" s="17"/>
      <c r="FZ224" s="17"/>
      <c r="GA224" s="17"/>
      <c r="GB224" s="17"/>
      <c r="GC224" s="17"/>
      <c r="GD224" s="17"/>
      <c r="GE224" s="17"/>
      <c r="GF224" s="17"/>
      <c r="GG224" s="17"/>
    </row>
    <row r="225" spans="1:189" s="17" customFormat="1" ht="78.75" x14ac:dyDescent="0.25">
      <c r="A225" s="24" t="s">
        <v>149</v>
      </c>
      <c r="B225" s="20">
        <f t="shared" si="291"/>
        <v>29970</v>
      </c>
      <c r="C225" s="20">
        <f t="shared" si="414"/>
        <v>29970</v>
      </c>
      <c r="D225" s="20">
        <f t="shared" si="414"/>
        <v>0</v>
      </c>
      <c r="E225" s="20"/>
      <c r="F225" s="20"/>
      <c r="G225" s="20">
        <f t="shared" si="293"/>
        <v>0</v>
      </c>
      <c r="H225" s="20"/>
      <c r="I225" s="20"/>
      <c r="J225" s="20">
        <f t="shared" si="294"/>
        <v>0</v>
      </c>
      <c r="K225" s="20"/>
      <c r="L225" s="20"/>
      <c r="M225" s="20">
        <f t="shared" si="295"/>
        <v>0</v>
      </c>
      <c r="N225" s="20">
        <v>29970</v>
      </c>
      <c r="O225" s="20">
        <v>29970</v>
      </c>
      <c r="P225" s="20">
        <f t="shared" si="296"/>
        <v>0</v>
      </c>
      <c r="Q225" s="20"/>
      <c r="R225" s="20"/>
      <c r="S225" s="20">
        <f t="shared" si="297"/>
        <v>0</v>
      </c>
      <c r="T225" s="20"/>
      <c r="U225" s="20"/>
      <c r="V225" s="20">
        <f t="shared" si="298"/>
        <v>0</v>
      </c>
      <c r="W225" s="20"/>
      <c r="X225" s="20"/>
      <c r="Y225" s="20">
        <f t="shared" si="299"/>
        <v>0</v>
      </c>
      <c r="Z225" s="20"/>
      <c r="AA225" s="20"/>
      <c r="AB225" s="20">
        <f t="shared" si="300"/>
        <v>0</v>
      </c>
    </row>
    <row r="226" spans="1:189" s="14" customFormat="1" ht="63" x14ac:dyDescent="0.25">
      <c r="A226" s="24" t="s">
        <v>150</v>
      </c>
      <c r="B226" s="26">
        <f t="shared" si="291"/>
        <v>77000</v>
      </c>
      <c r="C226" s="26">
        <f t="shared" si="414"/>
        <v>77000</v>
      </c>
      <c r="D226" s="26">
        <f t="shared" si="414"/>
        <v>0</v>
      </c>
      <c r="E226" s="26"/>
      <c r="F226" s="26"/>
      <c r="G226" s="26">
        <f t="shared" si="293"/>
        <v>0</v>
      </c>
      <c r="H226" s="26"/>
      <c r="I226" s="26"/>
      <c r="J226" s="26">
        <f t="shared" si="294"/>
        <v>0</v>
      </c>
      <c r="K226" s="26"/>
      <c r="L226" s="26"/>
      <c r="M226" s="26">
        <f t="shared" si="295"/>
        <v>0</v>
      </c>
      <c r="N226" s="26">
        <v>77000</v>
      </c>
      <c r="O226" s="26">
        <v>77000</v>
      </c>
      <c r="P226" s="26">
        <f t="shared" si="296"/>
        <v>0</v>
      </c>
      <c r="Q226" s="26"/>
      <c r="R226" s="26"/>
      <c r="S226" s="26">
        <f t="shared" si="297"/>
        <v>0</v>
      </c>
      <c r="T226" s="26"/>
      <c r="U226" s="26"/>
      <c r="V226" s="26">
        <f t="shared" si="298"/>
        <v>0</v>
      </c>
      <c r="W226" s="26"/>
      <c r="X226" s="26"/>
      <c r="Y226" s="26">
        <f t="shared" si="299"/>
        <v>0</v>
      </c>
      <c r="Z226" s="26"/>
      <c r="AA226" s="26"/>
      <c r="AB226" s="26">
        <f t="shared" si="300"/>
        <v>0</v>
      </c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</row>
    <row r="227" spans="1:189" s="17" customFormat="1" x14ac:dyDescent="0.25">
      <c r="A227" s="15" t="s">
        <v>127</v>
      </c>
      <c r="B227" s="16">
        <f t="shared" si="291"/>
        <v>32853</v>
      </c>
      <c r="C227" s="16">
        <f t="shared" si="414"/>
        <v>32853</v>
      </c>
      <c r="D227" s="16">
        <f t="shared" si="414"/>
        <v>0</v>
      </c>
      <c r="E227" s="16">
        <f t="shared" ref="E227:Z227" si="425">SUM(E228:E229)</f>
        <v>0</v>
      </c>
      <c r="F227" s="16">
        <f t="shared" ref="F227" si="426">SUM(F228:F229)</f>
        <v>0</v>
      </c>
      <c r="G227" s="16">
        <f t="shared" si="293"/>
        <v>0</v>
      </c>
      <c r="H227" s="16">
        <f t="shared" si="425"/>
        <v>0</v>
      </c>
      <c r="I227" s="16">
        <f t="shared" ref="I227" si="427">SUM(I228:I229)</f>
        <v>0</v>
      </c>
      <c r="J227" s="16">
        <f t="shared" si="294"/>
        <v>0</v>
      </c>
      <c r="K227" s="16">
        <f t="shared" si="425"/>
        <v>0</v>
      </c>
      <c r="L227" s="16">
        <f t="shared" ref="L227" si="428">SUM(L228:L229)</f>
        <v>0</v>
      </c>
      <c r="M227" s="16">
        <f t="shared" si="295"/>
        <v>0</v>
      </c>
      <c r="N227" s="16">
        <f t="shared" si="425"/>
        <v>32853</v>
      </c>
      <c r="O227" s="16">
        <f t="shared" ref="O227" si="429">SUM(O228:O229)</f>
        <v>32853</v>
      </c>
      <c r="P227" s="16">
        <f t="shared" si="296"/>
        <v>0</v>
      </c>
      <c r="Q227" s="16">
        <f t="shared" si="425"/>
        <v>0</v>
      </c>
      <c r="R227" s="16">
        <f t="shared" ref="R227" si="430">SUM(R228:R229)</f>
        <v>0</v>
      </c>
      <c r="S227" s="16">
        <f t="shared" si="297"/>
        <v>0</v>
      </c>
      <c r="T227" s="16">
        <f t="shared" si="425"/>
        <v>0</v>
      </c>
      <c r="U227" s="16">
        <f t="shared" ref="U227" si="431">SUM(U228:U229)</f>
        <v>0</v>
      </c>
      <c r="V227" s="16">
        <f t="shared" si="298"/>
        <v>0</v>
      </c>
      <c r="W227" s="16">
        <f t="shared" ref="W227" si="432">SUM(W228:W229)</f>
        <v>0</v>
      </c>
      <c r="X227" s="16">
        <f t="shared" ref="X227" si="433">SUM(X228:X229)</f>
        <v>0</v>
      </c>
      <c r="Y227" s="16">
        <f t="shared" si="299"/>
        <v>0</v>
      </c>
      <c r="Z227" s="16">
        <f t="shared" si="425"/>
        <v>0</v>
      </c>
      <c r="AA227" s="16">
        <f t="shared" ref="AA227" si="434">SUM(AA228:AA229)</f>
        <v>0</v>
      </c>
      <c r="AB227" s="16">
        <f t="shared" si="300"/>
        <v>0</v>
      </c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  <c r="FY227" s="14"/>
      <c r="FZ227" s="14"/>
      <c r="GA227" s="14"/>
      <c r="GB227" s="14"/>
      <c r="GC227" s="14"/>
      <c r="GD227" s="14"/>
      <c r="GE227" s="14"/>
      <c r="GF227" s="14"/>
      <c r="GG227" s="14"/>
    </row>
    <row r="228" spans="1:189" s="17" customFormat="1" ht="94.5" x14ac:dyDescent="0.25">
      <c r="A228" s="27" t="s">
        <v>151</v>
      </c>
      <c r="B228" s="23">
        <f t="shared" si="291"/>
        <v>30228</v>
      </c>
      <c r="C228" s="23">
        <f t="shared" si="414"/>
        <v>30228</v>
      </c>
      <c r="D228" s="23">
        <f t="shared" si="414"/>
        <v>0</v>
      </c>
      <c r="E228" s="23"/>
      <c r="F228" s="23"/>
      <c r="G228" s="23">
        <f t="shared" si="293"/>
        <v>0</v>
      </c>
      <c r="H228" s="23"/>
      <c r="I228" s="23"/>
      <c r="J228" s="23">
        <f t="shared" si="294"/>
        <v>0</v>
      </c>
      <c r="K228" s="23"/>
      <c r="L228" s="23"/>
      <c r="M228" s="23">
        <f t="shared" si="295"/>
        <v>0</v>
      </c>
      <c r="N228" s="23">
        <v>30228</v>
      </c>
      <c r="O228" s="23">
        <v>30228</v>
      </c>
      <c r="P228" s="23">
        <f t="shared" si="296"/>
        <v>0</v>
      </c>
      <c r="Q228" s="23"/>
      <c r="R228" s="23"/>
      <c r="S228" s="23">
        <f t="shared" si="297"/>
        <v>0</v>
      </c>
      <c r="T228" s="23"/>
      <c r="U228" s="23"/>
      <c r="V228" s="23">
        <f t="shared" si="298"/>
        <v>0</v>
      </c>
      <c r="W228" s="23"/>
      <c r="X228" s="23"/>
      <c r="Y228" s="23">
        <f t="shared" si="299"/>
        <v>0</v>
      </c>
      <c r="Z228" s="23"/>
      <c r="AA228" s="23"/>
      <c r="AB228" s="23">
        <f t="shared" si="300"/>
        <v>0</v>
      </c>
    </row>
    <row r="229" spans="1:189" s="17" customFormat="1" ht="94.5" x14ac:dyDescent="0.25">
      <c r="A229" s="24" t="s">
        <v>152</v>
      </c>
      <c r="B229" s="20">
        <f t="shared" si="291"/>
        <v>2625</v>
      </c>
      <c r="C229" s="20">
        <f t="shared" si="414"/>
        <v>2625</v>
      </c>
      <c r="D229" s="20">
        <f t="shared" si="414"/>
        <v>0</v>
      </c>
      <c r="E229" s="20"/>
      <c r="F229" s="20"/>
      <c r="G229" s="20">
        <f t="shared" si="293"/>
        <v>0</v>
      </c>
      <c r="H229" s="20"/>
      <c r="I229" s="20"/>
      <c r="J229" s="20">
        <f t="shared" si="294"/>
        <v>0</v>
      </c>
      <c r="K229" s="20"/>
      <c r="L229" s="20"/>
      <c r="M229" s="20">
        <f t="shared" si="295"/>
        <v>0</v>
      </c>
      <c r="N229" s="20">
        <v>2625</v>
      </c>
      <c r="O229" s="20">
        <v>2625</v>
      </c>
      <c r="P229" s="20">
        <f t="shared" si="296"/>
        <v>0</v>
      </c>
      <c r="Q229" s="20"/>
      <c r="R229" s="20"/>
      <c r="S229" s="20">
        <f t="shared" si="297"/>
        <v>0</v>
      </c>
      <c r="T229" s="20"/>
      <c r="U229" s="20"/>
      <c r="V229" s="20">
        <f t="shared" si="298"/>
        <v>0</v>
      </c>
      <c r="W229" s="20"/>
      <c r="X229" s="20"/>
      <c r="Y229" s="20">
        <f t="shared" si="299"/>
        <v>0</v>
      </c>
      <c r="Z229" s="20"/>
      <c r="AA229" s="20"/>
      <c r="AB229" s="20">
        <f t="shared" si="300"/>
        <v>0</v>
      </c>
    </row>
    <row r="230" spans="1:189" s="17" customFormat="1" x14ac:dyDescent="0.25">
      <c r="A230" s="15" t="s">
        <v>117</v>
      </c>
      <c r="B230" s="16">
        <f t="shared" si="291"/>
        <v>188857</v>
      </c>
      <c r="C230" s="16">
        <f t="shared" si="414"/>
        <v>188857</v>
      </c>
      <c r="D230" s="16">
        <f t="shared" si="414"/>
        <v>0</v>
      </c>
      <c r="E230" s="16">
        <f t="shared" ref="E230:Z230" si="435">SUM(E231:E232)</f>
        <v>0</v>
      </c>
      <c r="F230" s="16">
        <f t="shared" ref="F230" si="436">SUM(F231:F232)</f>
        <v>0</v>
      </c>
      <c r="G230" s="16">
        <f t="shared" si="293"/>
        <v>0</v>
      </c>
      <c r="H230" s="16">
        <f t="shared" si="435"/>
        <v>27000</v>
      </c>
      <c r="I230" s="16">
        <f t="shared" ref="I230" si="437">SUM(I231:I232)</f>
        <v>27000</v>
      </c>
      <c r="J230" s="16">
        <f t="shared" si="294"/>
        <v>0</v>
      </c>
      <c r="K230" s="16">
        <f t="shared" si="435"/>
        <v>0</v>
      </c>
      <c r="L230" s="16">
        <f t="shared" ref="L230" si="438">SUM(L231:L232)</f>
        <v>0</v>
      </c>
      <c r="M230" s="16">
        <f t="shared" si="295"/>
        <v>0</v>
      </c>
      <c r="N230" s="16">
        <f t="shared" si="435"/>
        <v>161857</v>
      </c>
      <c r="O230" s="16">
        <f t="shared" ref="O230" si="439">SUM(O231:O232)</f>
        <v>161857</v>
      </c>
      <c r="P230" s="16">
        <f t="shared" si="296"/>
        <v>0</v>
      </c>
      <c r="Q230" s="16">
        <f t="shared" si="435"/>
        <v>0</v>
      </c>
      <c r="R230" s="16">
        <f t="shared" ref="R230" si="440">SUM(R231:R232)</f>
        <v>0</v>
      </c>
      <c r="S230" s="16">
        <f t="shared" si="297"/>
        <v>0</v>
      </c>
      <c r="T230" s="16">
        <f t="shared" si="435"/>
        <v>0</v>
      </c>
      <c r="U230" s="16">
        <f t="shared" ref="U230" si="441">SUM(U231:U232)</f>
        <v>0</v>
      </c>
      <c r="V230" s="16">
        <f t="shared" si="298"/>
        <v>0</v>
      </c>
      <c r="W230" s="16">
        <f t="shared" ref="W230" si="442">SUM(W231:W232)</f>
        <v>0</v>
      </c>
      <c r="X230" s="16">
        <f t="shared" ref="X230" si="443">SUM(X231:X232)</f>
        <v>0</v>
      </c>
      <c r="Y230" s="16">
        <f t="shared" si="299"/>
        <v>0</v>
      </c>
      <c r="Z230" s="16">
        <f t="shared" si="435"/>
        <v>0</v>
      </c>
      <c r="AA230" s="16">
        <f t="shared" ref="AA230" si="444">SUM(AA231:AA232)</f>
        <v>0</v>
      </c>
      <c r="AB230" s="16">
        <f t="shared" si="300"/>
        <v>0</v>
      </c>
    </row>
    <row r="231" spans="1:189" s="17" customFormat="1" ht="63" x14ac:dyDescent="0.25">
      <c r="A231" s="30" t="s">
        <v>153</v>
      </c>
      <c r="B231" s="23">
        <f t="shared" si="291"/>
        <v>27000</v>
      </c>
      <c r="C231" s="23">
        <f t="shared" si="414"/>
        <v>27000</v>
      </c>
      <c r="D231" s="23">
        <f t="shared" si="414"/>
        <v>0</v>
      </c>
      <c r="E231" s="23"/>
      <c r="F231" s="23"/>
      <c r="G231" s="23">
        <f t="shared" si="293"/>
        <v>0</v>
      </c>
      <c r="H231" s="23">
        <v>27000</v>
      </c>
      <c r="I231" s="23">
        <v>27000</v>
      </c>
      <c r="J231" s="23">
        <f t="shared" si="294"/>
        <v>0</v>
      </c>
      <c r="K231" s="23"/>
      <c r="L231" s="23"/>
      <c r="M231" s="23">
        <f t="shared" si="295"/>
        <v>0</v>
      </c>
      <c r="N231" s="23"/>
      <c r="O231" s="23"/>
      <c r="P231" s="23">
        <f t="shared" si="296"/>
        <v>0</v>
      </c>
      <c r="Q231" s="23"/>
      <c r="R231" s="23"/>
      <c r="S231" s="23">
        <f t="shared" si="297"/>
        <v>0</v>
      </c>
      <c r="T231" s="23"/>
      <c r="U231" s="23"/>
      <c r="V231" s="23">
        <f t="shared" si="298"/>
        <v>0</v>
      </c>
      <c r="W231" s="23"/>
      <c r="X231" s="23"/>
      <c r="Y231" s="23">
        <f t="shared" si="299"/>
        <v>0</v>
      </c>
      <c r="Z231" s="23"/>
      <c r="AA231" s="23"/>
      <c r="AB231" s="23">
        <f t="shared" si="300"/>
        <v>0</v>
      </c>
    </row>
    <row r="232" spans="1:189" s="17" customFormat="1" ht="78.75" x14ac:dyDescent="0.25">
      <c r="A232" s="27" t="s">
        <v>154</v>
      </c>
      <c r="B232" s="23">
        <f t="shared" si="291"/>
        <v>161857</v>
      </c>
      <c r="C232" s="23">
        <f t="shared" si="414"/>
        <v>161857</v>
      </c>
      <c r="D232" s="23">
        <f t="shared" si="414"/>
        <v>0</v>
      </c>
      <c r="E232" s="23"/>
      <c r="F232" s="23"/>
      <c r="G232" s="23">
        <f t="shared" si="293"/>
        <v>0</v>
      </c>
      <c r="H232" s="23"/>
      <c r="I232" s="23"/>
      <c r="J232" s="23">
        <f t="shared" si="294"/>
        <v>0</v>
      </c>
      <c r="K232" s="23"/>
      <c r="L232" s="23"/>
      <c r="M232" s="23">
        <f t="shared" si="295"/>
        <v>0</v>
      </c>
      <c r="N232" s="23">
        <v>161857</v>
      </c>
      <c r="O232" s="23">
        <v>161857</v>
      </c>
      <c r="P232" s="23">
        <f t="shared" si="296"/>
        <v>0</v>
      </c>
      <c r="Q232" s="23"/>
      <c r="R232" s="23"/>
      <c r="S232" s="23">
        <f t="shared" si="297"/>
        <v>0</v>
      </c>
      <c r="T232" s="23"/>
      <c r="U232" s="23"/>
      <c r="V232" s="23">
        <f t="shared" si="298"/>
        <v>0</v>
      </c>
      <c r="W232" s="23"/>
      <c r="X232" s="23"/>
      <c r="Y232" s="23">
        <f t="shared" si="299"/>
        <v>0</v>
      </c>
      <c r="Z232" s="23"/>
      <c r="AA232" s="23"/>
      <c r="AB232" s="23">
        <f t="shared" si="300"/>
        <v>0</v>
      </c>
    </row>
    <row r="233" spans="1:189" s="17" customFormat="1" x14ac:dyDescent="0.25">
      <c r="A233" s="15" t="s">
        <v>155</v>
      </c>
      <c r="B233" s="16">
        <f t="shared" si="291"/>
        <v>24561</v>
      </c>
      <c r="C233" s="16">
        <f t="shared" si="414"/>
        <v>24561</v>
      </c>
      <c r="D233" s="16">
        <f t="shared" si="414"/>
        <v>0</v>
      </c>
      <c r="E233" s="16">
        <f t="shared" ref="E233:AA233" si="445">SUM(E234:E234)</f>
        <v>0</v>
      </c>
      <c r="F233" s="16">
        <f t="shared" si="445"/>
        <v>0</v>
      </c>
      <c r="G233" s="16">
        <f t="shared" si="293"/>
        <v>0</v>
      </c>
      <c r="H233" s="16">
        <f t="shared" si="445"/>
        <v>0</v>
      </c>
      <c r="I233" s="16">
        <f t="shared" si="445"/>
        <v>0</v>
      </c>
      <c r="J233" s="16">
        <f t="shared" si="294"/>
        <v>0</v>
      </c>
      <c r="K233" s="16">
        <f t="shared" si="445"/>
        <v>0</v>
      </c>
      <c r="L233" s="16">
        <f t="shared" si="445"/>
        <v>0</v>
      </c>
      <c r="M233" s="16">
        <f t="shared" si="295"/>
        <v>0</v>
      </c>
      <c r="N233" s="16">
        <f t="shared" si="445"/>
        <v>24561</v>
      </c>
      <c r="O233" s="16">
        <f t="shared" si="445"/>
        <v>24561</v>
      </c>
      <c r="P233" s="16">
        <f t="shared" si="296"/>
        <v>0</v>
      </c>
      <c r="Q233" s="16">
        <f t="shared" si="445"/>
        <v>0</v>
      </c>
      <c r="R233" s="16">
        <f t="shared" si="445"/>
        <v>0</v>
      </c>
      <c r="S233" s="16">
        <f t="shared" si="297"/>
        <v>0</v>
      </c>
      <c r="T233" s="16">
        <f t="shared" si="445"/>
        <v>0</v>
      </c>
      <c r="U233" s="16">
        <f t="shared" si="445"/>
        <v>0</v>
      </c>
      <c r="V233" s="16">
        <f t="shared" si="298"/>
        <v>0</v>
      </c>
      <c r="W233" s="16">
        <f t="shared" si="445"/>
        <v>0</v>
      </c>
      <c r="X233" s="16">
        <f t="shared" si="445"/>
        <v>0</v>
      </c>
      <c r="Y233" s="16">
        <f t="shared" si="299"/>
        <v>0</v>
      </c>
      <c r="Z233" s="16">
        <f t="shared" si="445"/>
        <v>0</v>
      </c>
      <c r="AA233" s="16">
        <f t="shared" si="445"/>
        <v>0</v>
      </c>
      <c r="AB233" s="16">
        <f t="shared" si="300"/>
        <v>0</v>
      </c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  <c r="FJ233" s="14"/>
      <c r="FK233" s="14"/>
      <c r="FL233" s="14"/>
      <c r="FM233" s="14"/>
      <c r="FN233" s="14"/>
      <c r="FO233" s="14"/>
      <c r="FP233" s="14"/>
      <c r="FQ233" s="14"/>
      <c r="FR233" s="14"/>
      <c r="FS233" s="14"/>
      <c r="FT233" s="14"/>
      <c r="FU233" s="14"/>
      <c r="FV233" s="14"/>
      <c r="FW233" s="14"/>
      <c r="FX233" s="14"/>
      <c r="FY233" s="14"/>
      <c r="FZ233" s="14"/>
      <c r="GA233" s="14"/>
      <c r="GB233" s="14"/>
      <c r="GC233" s="14"/>
      <c r="GD233" s="14"/>
      <c r="GE233" s="14"/>
      <c r="GF233" s="14"/>
      <c r="GG233" s="14"/>
    </row>
    <row r="234" spans="1:189" s="17" customFormat="1" ht="78.75" x14ac:dyDescent="0.25">
      <c r="A234" s="22" t="s">
        <v>156</v>
      </c>
      <c r="B234" s="23">
        <f t="shared" si="291"/>
        <v>24561</v>
      </c>
      <c r="C234" s="23">
        <f t="shared" si="414"/>
        <v>24561</v>
      </c>
      <c r="D234" s="23">
        <f t="shared" si="414"/>
        <v>0</v>
      </c>
      <c r="E234" s="23"/>
      <c r="F234" s="23"/>
      <c r="G234" s="23">
        <f t="shared" si="293"/>
        <v>0</v>
      </c>
      <c r="H234" s="23"/>
      <c r="I234" s="23"/>
      <c r="J234" s="23">
        <f t="shared" si="294"/>
        <v>0</v>
      </c>
      <c r="K234" s="23"/>
      <c r="L234" s="23"/>
      <c r="M234" s="23">
        <f t="shared" si="295"/>
        <v>0</v>
      </c>
      <c r="N234" s="23">
        <v>24561</v>
      </c>
      <c r="O234" s="23">
        <v>24561</v>
      </c>
      <c r="P234" s="23">
        <f t="shared" si="296"/>
        <v>0</v>
      </c>
      <c r="Q234" s="23"/>
      <c r="R234" s="23"/>
      <c r="S234" s="23">
        <f t="shared" si="297"/>
        <v>0</v>
      </c>
      <c r="T234" s="23"/>
      <c r="U234" s="23"/>
      <c r="V234" s="23">
        <f t="shared" si="298"/>
        <v>0</v>
      </c>
      <c r="W234" s="23"/>
      <c r="X234" s="23"/>
      <c r="Y234" s="23">
        <f t="shared" si="299"/>
        <v>0</v>
      </c>
      <c r="Z234" s="23"/>
      <c r="AA234" s="23"/>
      <c r="AB234" s="23">
        <f t="shared" si="300"/>
        <v>0</v>
      </c>
      <c r="FN234" s="14"/>
      <c r="FO234" s="14"/>
      <c r="FP234" s="14"/>
      <c r="FQ234" s="14"/>
      <c r="FR234" s="14"/>
      <c r="FS234" s="14"/>
      <c r="FT234" s="14"/>
      <c r="FU234" s="14"/>
      <c r="FV234" s="14"/>
      <c r="FW234" s="14"/>
      <c r="FX234" s="14"/>
      <c r="FY234" s="14"/>
      <c r="FZ234" s="14"/>
      <c r="GA234" s="14"/>
      <c r="GB234" s="14"/>
      <c r="GC234" s="14"/>
      <c r="GD234" s="14"/>
      <c r="GE234" s="14"/>
      <c r="GF234" s="14"/>
      <c r="GG234" s="14"/>
    </row>
    <row r="235" spans="1:189" s="17" customFormat="1" ht="31.5" x14ac:dyDescent="0.25">
      <c r="A235" s="15" t="s">
        <v>45</v>
      </c>
      <c r="B235" s="16">
        <f t="shared" si="291"/>
        <v>6398807</v>
      </c>
      <c r="C235" s="16">
        <f t="shared" si="414"/>
        <v>6488474</v>
      </c>
      <c r="D235" s="16">
        <f t="shared" si="414"/>
        <v>89667</v>
      </c>
      <c r="E235" s="16">
        <f>SUM(E236,E239,E242,E249,E246,E263)</f>
        <v>388303</v>
      </c>
      <c r="F235" s="16">
        <f>SUM(F236,F239,F242,F249,F246,F263)</f>
        <v>388303</v>
      </c>
      <c r="G235" s="16">
        <f t="shared" si="293"/>
        <v>0</v>
      </c>
      <c r="H235" s="16">
        <f t="shared" ref="H235:Z235" si="446">SUM(H236,H239,H242,H249,H246,H263)</f>
        <v>282982</v>
      </c>
      <c r="I235" s="16">
        <f t="shared" ref="I235" si="447">SUM(I236,I239,I242,I249,I246,I263)</f>
        <v>282982</v>
      </c>
      <c r="J235" s="16">
        <f t="shared" si="294"/>
        <v>0</v>
      </c>
      <c r="K235" s="16">
        <f t="shared" si="446"/>
        <v>133581</v>
      </c>
      <c r="L235" s="16">
        <f t="shared" ref="L235" si="448">SUM(L236,L239,L242,L249,L246,L263)</f>
        <v>220904</v>
      </c>
      <c r="M235" s="16">
        <f t="shared" si="295"/>
        <v>87323</v>
      </c>
      <c r="N235" s="16">
        <f t="shared" si="446"/>
        <v>1411336</v>
      </c>
      <c r="O235" s="16">
        <f t="shared" ref="O235" si="449">SUM(O236,O239,O242,O249,O246,O263)</f>
        <v>1413680</v>
      </c>
      <c r="P235" s="16">
        <f t="shared" si="296"/>
        <v>2344</v>
      </c>
      <c r="Q235" s="16">
        <f t="shared" si="446"/>
        <v>0</v>
      </c>
      <c r="R235" s="16">
        <f t="shared" ref="R235" si="450">SUM(R236,R239,R242,R249,R246,R263)</f>
        <v>0</v>
      </c>
      <c r="S235" s="16">
        <f t="shared" si="297"/>
        <v>0</v>
      </c>
      <c r="T235" s="16">
        <f t="shared" si="446"/>
        <v>3672605</v>
      </c>
      <c r="U235" s="16">
        <f t="shared" ref="U235" si="451">SUM(U236,U239,U242,U249,U246,U263)</f>
        <v>3672605</v>
      </c>
      <c r="V235" s="16">
        <f t="shared" si="298"/>
        <v>0</v>
      </c>
      <c r="W235" s="16">
        <f t="shared" ref="W235" si="452">SUM(W236,W239,W242,W249,W246,W263)</f>
        <v>0</v>
      </c>
      <c r="X235" s="16">
        <f t="shared" ref="X235" si="453">SUM(X236,X239,X242,X249,X246,X263)</f>
        <v>0</v>
      </c>
      <c r="Y235" s="16">
        <f t="shared" si="299"/>
        <v>0</v>
      </c>
      <c r="Z235" s="16">
        <f t="shared" si="446"/>
        <v>510000</v>
      </c>
      <c r="AA235" s="16">
        <f t="shared" ref="AA235" si="454">SUM(AA236,AA239,AA242,AA249,AA246,AA263)</f>
        <v>510000</v>
      </c>
      <c r="AB235" s="16">
        <f t="shared" si="300"/>
        <v>0</v>
      </c>
    </row>
    <row r="236" spans="1:189" s="14" customFormat="1" x14ac:dyDescent="0.25">
      <c r="A236" s="15" t="s">
        <v>105</v>
      </c>
      <c r="B236" s="16">
        <f t="shared" si="291"/>
        <v>650</v>
      </c>
      <c r="C236" s="16">
        <f t="shared" si="414"/>
        <v>2994</v>
      </c>
      <c r="D236" s="16">
        <f t="shared" si="414"/>
        <v>2344</v>
      </c>
      <c r="E236" s="16">
        <f>SUM(E237:E238)</f>
        <v>0</v>
      </c>
      <c r="F236" s="16">
        <f>SUM(F237:F238)</f>
        <v>0</v>
      </c>
      <c r="G236" s="16">
        <f t="shared" si="293"/>
        <v>0</v>
      </c>
      <c r="H236" s="16">
        <f>SUM(H237:H238)</f>
        <v>0</v>
      </c>
      <c r="I236" s="16">
        <f>SUM(I237:I238)</f>
        <v>0</v>
      </c>
      <c r="J236" s="16">
        <f t="shared" si="294"/>
        <v>0</v>
      </c>
      <c r="K236" s="16">
        <f>SUM(K237:K238)</f>
        <v>650</v>
      </c>
      <c r="L236" s="16">
        <f>SUM(L237:L238)</f>
        <v>650</v>
      </c>
      <c r="M236" s="16">
        <f t="shared" si="295"/>
        <v>0</v>
      </c>
      <c r="N236" s="16">
        <f>SUM(N237:N238)</f>
        <v>0</v>
      </c>
      <c r="O236" s="16">
        <f>SUM(O237:O238)</f>
        <v>2344</v>
      </c>
      <c r="P236" s="16">
        <f t="shared" si="296"/>
        <v>2344</v>
      </c>
      <c r="Q236" s="16">
        <f>SUM(Q237:Q238)</f>
        <v>0</v>
      </c>
      <c r="R236" s="16">
        <f>SUM(R237:R238)</f>
        <v>0</v>
      </c>
      <c r="S236" s="16">
        <f t="shared" si="297"/>
        <v>0</v>
      </c>
      <c r="T236" s="16">
        <f>SUM(T237:T238)</f>
        <v>0</v>
      </c>
      <c r="U236" s="16">
        <f>SUM(U237:U238)</f>
        <v>0</v>
      </c>
      <c r="V236" s="16">
        <f t="shared" si="298"/>
        <v>0</v>
      </c>
      <c r="W236" s="16">
        <f>SUM(W237:W238)</f>
        <v>0</v>
      </c>
      <c r="X236" s="16">
        <f>SUM(X237:X238)</f>
        <v>0</v>
      </c>
      <c r="Y236" s="16">
        <f t="shared" si="299"/>
        <v>0</v>
      </c>
      <c r="Z236" s="16">
        <f>SUM(Z237:Z238)</f>
        <v>0</v>
      </c>
      <c r="AA236" s="16">
        <f>SUM(AA237:AA238)</f>
        <v>0</v>
      </c>
      <c r="AB236" s="16">
        <f t="shared" si="300"/>
        <v>0</v>
      </c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  <c r="FK236" s="17"/>
      <c r="FL236" s="17"/>
      <c r="FM236" s="17"/>
      <c r="FN236" s="17"/>
      <c r="FO236" s="17"/>
      <c r="FP236" s="17"/>
      <c r="FQ236" s="17"/>
      <c r="FR236" s="17"/>
      <c r="FS236" s="17"/>
      <c r="FT236" s="17"/>
      <c r="FU236" s="17"/>
      <c r="FV236" s="17"/>
      <c r="FW236" s="17"/>
      <c r="FX236" s="17"/>
      <c r="FY236" s="17"/>
      <c r="FZ236" s="17"/>
      <c r="GA236" s="17"/>
      <c r="GB236" s="17"/>
      <c r="GC236" s="17"/>
      <c r="GD236" s="17"/>
      <c r="GE236" s="17"/>
      <c r="GF236" s="17"/>
      <c r="GG236" s="17"/>
    </row>
    <row r="237" spans="1:189" s="17" customFormat="1" ht="31.5" x14ac:dyDescent="0.25">
      <c r="A237" s="30" t="s">
        <v>157</v>
      </c>
      <c r="B237" s="23">
        <f t="shared" si="291"/>
        <v>650</v>
      </c>
      <c r="C237" s="23">
        <f t="shared" ref="C237:D254" si="455">F237+I237+L237+O237+R237+U237+AA237</f>
        <v>650</v>
      </c>
      <c r="D237" s="23">
        <f t="shared" si="455"/>
        <v>0</v>
      </c>
      <c r="E237" s="23"/>
      <c r="F237" s="23"/>
      <c r="G237" s="23">
        <f t="shared" si="293"/>
        <v>0</v>
      </c>
      <c r="H237" s="23"/>
      <c r="I237" s="23"/>
      <c r="J237" s="23">
        <f t="shared" si="294"/>
        <v>0</v>
      </c>
      <c r="K237" s="23">
        <v>650</v>
      </c>
      <c r="L237" s="23">
        <v>650</v>
      </c>
      <c r="M237" s="23">
        <f t="shared" si="295"/>
        <v>0</v>
      </c>
      <c r="N237" s="23"/>
      <c r="O237" s="23"/>
      <c r="P237" s="23">
        <f t="shared" si="296"/>
        <v>0</v>
      </c>
      <c r="Q237" s="23"/>
      <c r="R237" s="23"/>
      <c r="S237" s="23">
        <f t="shared" si="297"/>
        <v>0</v>
      </c>
      <c r="T237" s="23"/>
      <c r="U237" s="23"/>
      <c r="V237" s="23">
        <f t="shared" si="298"/>
        <v>0</v>
      </c>
      <c r="W237" s="23"/>
      <c r="X237" s="23"/>
      <c r="Y237" s="23">
        <f t="shared" si="299"/>
        <v>0</v>
      </c>
      <c r="Z237" s="23"/>
      <c r="AA237" s="23"/>
      <c r="AB237" s="23">
        <f t="shared" si="300"/>
        <v>0</v>
      </c>
    </row>
    <row r="238" spans="1:189" s="17" customFormat="1" ht="78.75" x14ac:dyDescent="0.25">
      <c r="A238" s="27" t="s">
        <v>269</v>
      </c>
      <c r="B238" s="23">
        <f t="shared" ref="B238" si="456">E238+H238+K238+N238+Q238+T238+Z238</f>
        <v>0</v>
      </c>
      <c r="C238" s="23">
        <f t="shared" ref="C238" si="457">F238+I238+L238+O238+R238+U238+AA238</f>
        <v>2344</v>
      </c>
      <c r="D238" s="23">
        <f t="shared" ref="D238" si="458">G238+J238+M238+P238+S238+V238+AB238</f>
        <v>2344</v>
      </c>
      <c r="E238" s="23"/>
      <c r="F238" s="23"/>
      <c r="G238" s="23">
        <f t="shared" ref="G238" si="459">F238-E238</f>
        <v>0</v>
      </c>
      <c r="H238" s="23"/>
      <c r="I238" s="23"/>
      <c r="J238" s="23">
        <f t="shared" ref="J238" si="460">I238-H238</f>
        <v>0</v>
      </c>
      <c r="K238" s="23"/>
      <c r="L238" s="23"/>
      <c r="M238" s="23">
        <f t="shared" ref="M238" si="461">L238-K238</f>
        <v>0</v>
      </c>
      <c r="N238" s="23"/>
      <c r="O238" s="23">
        <v>2344</v>
      </c>
      <c r="P238" s="23">
        <f t="shared" ref="P238" si="462">O238-N238</f>
        <v>2344</v>
      </c>
      <c r="Q238" s="23"/>
      <c r="R238" s="23"/>
      <c r="S238" s="23">
        <f t="shared" ref="S238" si="463">R238-Q238</f>
        <v>0</v>
      </c>
      <c r="T238" s="23"/>
      <c r="U238" s="23"/>
      <c r="V238" s="23">
        <f t="shared" ref="V238" si="464">U238-T238</f>
        <v>0</v>
      </c>
      <c r="W238" s="23"/>
      <c r="X238" s="23"/>
      <c r="Y238" s="23">
        <f t="shared" ref="Y238" si="465">X238-W238</f>
        <v>0</v>
      </c>
      <c r="Z238" s="23"/>
      <c r="AA238" s="23"/>
      <c r="AB238" s="23">
        <f t="shared" ref="AB238" si="466">AA238-Z238</f>
        <v>0</v>
      </c>
    </row>
    <row r="239" spans="1:189" s="14" customFormat="1" ht="31.5" x14ac:dyDescent="0.25">
      <c r="A239" s="15" t="s">
        <v>111</v>
      </c>
      <c r="B239" s="16">
        <f t="shared" si="291"/>
        <v>357000</v>
      </c>
      <c r="C239" s="16">
        <f t="shared" si="455"/>
        <v>357000</v>
      </c>
      <c r="D239" s="16">
        <f t="shared" si="455"/>
        <v>0</v>
      </c>
      <c r="E239" s="16">
        <f t="shared" ref="E239:Z239" si="467">SUM(E240:E241)</f>
        <v>0</v>
      </c>
      <c r="F239" s="16">
        <f t="shared" ref="F239" si="468">SUM(F240:F241)</f>
        <v>0</v>
      </c>
      <c r="G239" s="16">
        <f t="shared" si="293"/>
        <v>0</v>
      </c>
      <c r="H239" s="16">
        <f t="shared" si="467"/>
        <v>0</v>
      </c>
      <c r="I239" s="16">
        <f t="shared" ref="I239" si="469">SUM(I240:I241)</f>
        <v>0</v>
      </c>
      <c r="J239" s="16">
        <f t="shared" si="294"/>
        <v>0</v>
      </c>
      <c r="K239" s="16">
        <f t="shared" si="467"/>
        <v>37000</v>
      </c>
      <c r="L239" s="16">
        <f t="shared" ref="L239" si="470">SUM(L240:L241)</f>
        <v>37000</v>
      </c>
      <c r="M239" s="16">
        <f t="shared" si="295"/>
        <v>0</v>
      </c>
      <c r="N239" s="16">
        <f t="shared" si="467"/>
        <v>320000</v>
      </c>
      <c r="O239" s="16">
        <f t="shared" ref="O239" si="471">SUM(O240:O241)</f>
        <v>320000</v>
      </c>
      <c r="P239" s="16">
        <f t="shared" si="296"/>
        <v>0</v>
      </c>
      <c r="Q239" s="16">
        <f t="shared" si="467"/>
        <v>0</v>
      </c>
      <c r="R239" s="16">
        <f t="shared" ref="R239" si="472">SUM(R240:R241)</f>
        <v>0</v>
      </c>
      <c r="S239" s="16">
        <f t="shared" si="297"/>
        <v>0</v>
      </c>
      <c r="T239" s="16">
        <f t="shared" si="467"/>
        <v>0</v>
      </c>
      <c r="U239" s="16">
        <f t="shared" ref="U239" si="473">SUM(U240:U241)</f>
        <v>0</v>
      </c>
      <c r="V239" s="16">
        <f t="shared" si="298"/>
        <v>0</v>
      </c>
      <c r="W239" s="16">
        <f t="shared" ref="W239" si="474">SUM(W240:W241)</f>
        <v>0</v>
      </c>
      <c r="X239" s="16">
        <f t="shared" ref="X239" si="475">SUM(X240:X241)</f>
        <v>0</v>
      </c>
      <c r="Y239" s="16">
        <f t="shared" si="299"/>
        <v>0</v>
      </c>
      <c r="Z239" s="16">
        <f t="shared" si="467"/>
        <v>0</v>
      </c>
      <c r="AA239" s="16">
        <f t="shared" ref="AA239" si="476">SUM(AA240:AA241)</f>
        <v>0</v>
      </c>
      <c r="AB239" s="16">
        <f t="shared" si="300"/>
        <v>0</v>
      </c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  <c r="FD239" s="17"/>
      <c r="FE239" s="17"/>
      <c r="FF239" s="17"/>
      <c r="FG239" s="17"/>
      <c r="FH239" s="17"/>
      <c r="FI239" s="17"/>
      <c r="FJ239" s="17"/>
      <c r="FK239" s="17"/>
      <c r="FL239" s="17"/>
      <c r="FM239" s="17"/>
      <c r="FN239" s="17"/>
      <c r="FO239" s="17"/>
      <c r="FP239" s="17"/>
      <c r="FQ239" s="17"/>
      <c r="FR239" s="17"/>
      <c r="FS239" s="17"/>
      <c r="FT239" s="17"/>
      <c r="FU239" s="17"/>
      <c r="FV239" s="17"/>
      <c r="FW239" s="17"/>
      <c r="FX239" s="17"/>
      <c r="FY239" s="17"/>
      <c r="FZ239" s="17"/>
      <c r="GA239" s="17"/>
      <c r="GB239" s="17"/>
      <c r="GC239" s="17"/>
      <c r="GD239" s="17"/>
      <c r="GE239" s="17"/>
      <c r="GF239" s="17"/>
      <c r="GG239" s="17"/>
    </row>
    <row r="240" spans="1:189" s="17" customFormat="1" ht="63" x14ac:dyDescent="0.25">
      <c r="A240" s="30" t="s">
        <v>158</v>
      </c>
      <c r="B240" s="23">
        <f t="shared" si="291"/>
        <v>37000</v>
      </c>
      <c r="C240" s="23">
        <f t="shared" si="455"/>
        <v>37000</v>
      </c>
      <c r="D240" s="23">
        <f t="shared" si="455"/>
        <v>0</v>
      </c>
      <c r="E240" s="23"/>
      <c r="F240" s="23"/>
      <c r="G240" s="23">
        <f t="shared" si="293"/>
        <v>0</v>
      </c>
      <c r="H240" s="23"/>
      <c r="I240" s="23"/>
      <c r="J240" s="23">
        <f t="shared" si="294"/>
        <v>0</v>
      </c>
      <c r="K240" s="23">
        <v>37000</v>
      </c>
      <c r="L240" s="23">
        <v>37000</v>
      </c>
      <c r="M240" s="23">
        <f t="shared" si="295"/>
        <v>0</v>
      </c>
      <c r="N240" s="23"/>
      <c r="O240" s="23"/>
      <c r="P240" s="23">
        <f t="shared" si="296"/>
        <v>0</v>
      </c>
      <c r="Q240" s="23"/>
      <c r="R240" s="23"/>
      <c r="S240" s="23">
        <f t="shared" si="297"/>
        <v>0</v>
      </c>
      <c r="T240" s="23"/>
      <c r="U240" s="23"/>
      <c r="V240" s="23">
        <f t="shared" si="298"/>
        <v>0</v>
      </c>
      <c r="W240" s="23"/>
      <c r="X240" s="23"/>
      <c r="Y240" s="23">
        <f t="shared" si="299"/>
        <v>0</v>
      </c>
      <c r="Z240" s="23"/>
      <c r="AA240" s="23"/>
      <c r="AB240" s="23">
        <f t="shared" si="300"/>
        <v>0</v>
      </c>
    </row>
    <row r="241" spans="1:28" s="17" customFormat="1" ht="78.75" x14ac:dyDescent="0.25">
      <c r="A241" s="27" t="s">
        <v>159</v>
      </c>
      <c r="B241" s="23">
        <f t="shared" si="291"/>
        <v>320000</v>
      </c>
      <c r="C241" s="23">
        <f t="shared" si="455"/>
        <v>320000</v>
      </c>
      <c r="D241" s="23">
        <f t="shared" si="455"/>
        <v>0</v>
      </c>
      <c r="E241" s="23"/>
      <c r="F241" s="23"/>
      <c r="G241" s="23">
        <f t="shared" si="293"/>
        <v>0</v>
      </c>
      <c r="H241" s="23"/>
      <c r="I241" s="23"/>
      <c r="J241" s="23">
        <f t="shared" si="294"/>
        <v>0</v>
      </c>
      <c r="K241" s="23"/>
      <c r="L241" s="23"/>
      <c r="M241" s="23">
        <f t="shared" si="295"/>
        <v>0</v>
      </c>
      <c r="N241" s="23">
        <v>320000</v>
      </c>
      <c r="O241" s="23">
        <v>320000</v>
      </c>
      <c r="P241" s="23">
        <f t="shared" si="296"/>
        <v>0</v>
      </c>
      <c r="Q241" s="23"/>
      <c r="R241" s="23"/>
      <c r="S241" s="23">
        <f t="shared" si="297"/>
        <v>0</v>
      </c>
      <c r="T241" s="23"/>
      <c r="U241" s="23"/>
      <c r="V241" s="23">
        <f t="shared" si="298"/>
        <v>0</v>
      </c>
      <c r="W241" s="23"/>
      <c r="X241" s="23"/>
      <c r="Y241" s="23">
        <f t="shared" si="299"/>
        <v>0</v>
      </c>
      <c r="Z241" s="23"/>
      <c r="AA241" s="23"/>
      <c r="AB241" s="23">
        <f t="shared" si="300"/>
        <v>0</v>
      </c>
    </row>
    <row r="242" spans="1:28" s="17" customFormat="1" x14ac:dyDescent="0.25">
      <c r="A242" s="15" t="s">
        <v>114</v>
      </c>
      <c r="B242" s="16">
        <f t="shared" si="291"/>
        <v>36120</v>
      </c>
      <c r="C242" s="16">
        <f t="shared" si="455"/>
        <v>107443</v>
      </c>
      <c r="D242" s="16">
        <f t="shared" si="455"/>
        <v>71323</v>
      </c>
      <c r="E242" s="16">
        <f t="shared" ref="E242:Z242" si="477">SUM(E243:E245)</f>
        <v>0</v>
      </c>
      <c r="F242" s="16">
        <f t="shared" ref="F242" si="478">SUM(F243:F245)</f>
        <v>0</v>
      </c>
      <c r="G242" s="16">
        <f t="shared" si="293"/>
        <v>0</v>
      </c>
      <c r="H242" s="16">
        <f t="shared" si="477"/>
        <v>0</v>
      </c>
      <c r="I242" s="16">
        <f t="shared" ref="I242" si="479">SUM(I243:I245)</f>
        <v>0</v>
      </c>
      <c r="J242" s="16">
        <f t="shared" si="294"/>
        <v>0</v>
      </c>
      <c r="K242" s="16">
        <f t="shared" si="477"/>
        <v>36120</v>
      </c>
      <c r="L242" s="16">
        <f t="shared" ref="L242" si="480">SUM(L243:L245)</f>
        <v>107443</v>
      </c>
      <c r="M242" s="16">
        <f t="shared" si="295"/>
        <v>71323</v>
      </c>
      <c r="N242" s="16">
        <f t="shared" si="477"/>
        <v>0</v>
      </c>
      <c r="O242" s="16">
        <f t="shared" ref="O242" si="481">SUM(O243:O245)</f>
        <v>0</v>
      </c>
      <c r="P242" s="16">
        <f t="shared" si="296"/>
        <v>0</v>
      </c>
      <c r="Q242" s="16">
        <f t="shared" si="477"/>
        <v>0</v>
      </c>
      <c r="R242" s="16">
        <f t="shared" ref="R242" si="482">SUM(R243:R245)</f>
        <v>0</v>
      </c>
      <c r="S242" s="16">
        <f t="shared" si="297"/>
        <v>0</v>
      </c>
      <c r="T242" s="16">
        <f t="shared" si="477"/>
        <v>0</v>
      </c>
      <c r="U242" s="16">
        <f t="shared" ref="U242" si="483">SUM(U243:U245)</f>
        <v>0</v>
      </c>
      <c r="V242" s="16">
        <f t="shared" si="298"/>
        <v>0</v>
      </c>
      <c r="W242" s="16">
        <f t="shared" ref="W242" si="484">SUM(W243:W245)</f>
        <v>0</v>
      </c>
      <c r="X242" s="16">
        <f t="shared" ref="X242" si="485">SUM(X243:X245)</f>
        <v>0</v>
      </c>
      <c r="Y242" s="16">
        <f t="shared" si="299"/>
        <v>0</v>
      </c>
      <c r="Z242" s="16">
        <f t="shared" si="477"/>
        <v>0</v>
      </c>
      <c r="AA242" s="16">
        <f t="shared" ref="AA242" si="486">SUM(AA243:AA245)</f>
        <v>0</v>
      </c>
      <c r="AB242" s="16">
        <f t="shared" si="300"/>
        <v>0</v>
      </c>
    </row>
    <row r="243" spans="1:28" s="17" customFormat="1" ht="31.5" x14ac:dyDescent="0.25">
      <c r="A243" s="27" t="s">
        <v>160</v>
      </c>
      <c r="B243" s="23">
        <f t="shared" si="291"/>
        <v>15120</v>
      </c>
      <c r="C243" s="23">
        <f t="shared" si="455"/>
        <v>15120</v>
      </c>
      <c r="D243" s="23">
        <f t="shared" si="455"/>
        <v>0</v>
      </c>
      <c r="E243" s="23"/>
      <c r="F243" s="23"/>
      <c r="G243" s="23">
        <f t="shared" si="293"/>
        <v>0</v>
      </c>
      <c r="H243" s="23"/>
      <c r="I243" s="23"/>
      <c r="J243" s="23">
        <f t="shared" si="294"/>
        <v>0</v>
      </c>
      <c r="K243" s="23">
        <v>15120</v>
      </c>
      <c r="L243" s="23">
        <v>15120</v>
      </c>
      <c r="M243" s="23">
        <f t="shared" si="295"/>
        <v>0</v>
      </c>
      <c r="N243" s="23"/>
      <c r="O243" s="23"/>
      <c r="P243" s="23">
        <f t="shared" si="296"/>
        <v>0</v>
      </c>
      <c r="Q243" s="23"/>
      <c r="R243" s="23"/>
      <c r="S243" s="23">
        <f t="shared" si="297"/>
        <v>0</v>
      </c>
      <c r="T243" s="23"/>
      <c r="U243" s="23"/>
      <c r="V243" s="23">
        <f t="shared" si="298"/>
        <v>0</v>
      </c>
      <c r="W243" s="23"/>
      <c r="X243" s="23"/>
      <c r="Y243" s="23">
        <f t="shared" si="299"/>
        <v>0</v>
      </c>
      <c r="Z243" s="23"/>
      <c r="AA243" s="23"/>
      <c r="AB243" s="23">
        <f t="shared" si="300"/>
        <v>0</v>
      </c>
    </row>
    <row r="244" spans="1:28" s="17" customFormat="1" ht="31.5" x14ac:dyDescent="0.25">
      <c r="A244" s="27" t="s">
        <v>252</v>
      </c>
      <c r="B244" s="23">
        <f t="shared" ref="B244" si="487">E244+H244+K244+N244+Q244+T244+Z244</f>
        <v>0</v>
      </c>
      <c r="C244" s="23">
        <f t="shared" ref="C244" si="488">F244+I244+L244+O244+R244+U244+AA244</f>
        <v>71323</v>
      </c>
      <c r="D244" s="23">
        <f t="shared" ref="D244" si="489">G244+J244+M244+P244+S244+V244+AB244</f>
        <v>71323</v>
      </c>
      <c r="E244" s="23"/>
      <c r="F244" s="23"/>
      <c r="G244" s="23">
        <f t="shared" ref="G244" si="490">F244-E244</f>
        <v>0</v>
      </c>
      <c r="H244" s="23"/>
      <c r="I244" s="23"/>
      <c r="J244" s="23">
        <f t="shared" ref="J244" si="491">I244-H244</f>
        <v>0</v>
      </c>
      <c r="K244" s="23"/>
      <c r="L244" s="23">
        <v>71323</v>
      </c>
      <c r="M244" s="23">
        <f t="shared" ref="M244" si="492">L244-K244</f>
        <v>71323</v>
      </c>
      <c r="N244" s="23"/>
      <c r="O244" s="23"/>
      <c r="P244" s="23">
        <f t="shared" ref="P244" si="493">O244-N244</f>
        <v>0</v>
      </c>
      <c r="Q244" s="23"/>
      <c r="R244" s="23"/>
      <c r="S244" s="23">
        <f t="shared" ref="S244" si="494">R244-Q244</f>
        <v>0</v>
      </c>
      <c r="T244" s="23"/>
      <c r="U244" s="23"/>
      <c r="V244" s="23">
        <f t="shared" ref="V244" si="495">U244-T244</f>
        <v>0</v>
      </c>
      <c r="W244" s="23"/>
      <c r="X244" s="23"/>
      <c r="Y244" s="23">
        <f t="shared" ref="Y244" si="496">X244-W244</f>
        <v>0</v>
      </c>
      <c r="Z244" s="23"/>
      <c r="AA244" s="23"/>
      <c r="AB244" s="23">
        <f t="shared" ref="AB244" si="497">AA244-Z244</f>
        <v>0</v>
      </c>
    </row>
    <row r="245" spans="1:28" s="17" customFormat="1" x14ac:dyDescent="0.25">
      <c r="A245" s="27" t="s">
        <v>161</v>
      </c>
      <c r="B245" s="23">
        <f t="shared" si="291"/>
        <v>21000</v>
      </c>
      <c r="C245" s="23">
        <f t="shared" si="455"/>
        <v>21000</v>
      </c>
      <c r="D245" s="23">
        <f t="shared" si="455"/>
        <v>0</v>
      </c>
      <c r="E245" s="23"/>
      <c r="F245" s="23"/>
      <c r="G245" s="23">
        <f t="shared" si="293"/>
        <v>0</v>
      </c>
      <c r="H245" s="23"/>
      <c r="I245" s="23"/>
      <c r="J245" s="23">
        <f t="shared" si="294"/>
        <v>0</v>
      </c>
      <c r="K245" s="23">
        <v>21000</v>
      </c>
      <c r="L245" s="23">
        <v>21000</v>
      </c>
      <c r="M245" s="23">
        <f t="shared" si="295"/>
        <v>0</v>
      </c>
      <c r="N245" s="23"/>
      <c r="O245" s="23"/>
      <c r="P245" s="23">
        <f t="shared" si="296"/>
        <v>0</v>
      </c>
      <c r="Q245" s="23"/>
      <c r="R245" s="23"/>
      <c r="S245" s="23">
        <f t="shared" si="297"/>
        <v>0</v>
      </c>
      <c r="T245" s="23"/>
      <c r="U245" s="23"/>
      <c r="V245" s="23">
        <f t="shared" si="298"/>
        <v>0</v>
      </c>
      <c r="W245" s="23"/>
      <c r="X245" s="23"/>
      <c r="Y245" s="23">
        <f t="shared" si="299"/>
        <v>0</v>
      </c>
      <c r="Z245" s="23"/>
      <c r="AA245" s="23"/>
      <c r="AB245" s="23">
        <f t="shared" si="300"/>
        <v>0</v>
      </c>
    </row>
    <row r="246" spans="1:28" s="17" customFormat="1" x14ac:dyDescent="0.25">
      <c r="A246" s="15" t="s">
        <v>127</v>
      </c>
      <c r="B246" s="16">
        <f t="shared" si="291"/>
        <v>10811</v>
      </c>
      <c r="C246" s="16">
        <f t="shared" si="455"/>
        <v>10811</v>
      </c>
      <c r="D246" s="16">
        <f t="shared" si="455"/>
        <v>0</v>
      </c>
      <c r="E246" s="16">
        <f t="shared" ref="E246:Z246" si="498">SUM(E247:E248)</f>
        <v>0</v>
      </c>
      <c r="F246" s="16">
        <f t="shared" ref="F246" si="499">SUM(F247:F248)</f>
        <v>0</v>
      </c>
      <c r="G246" s="16">
        <f t="shared" si="293"/>
        <v>0</v>
      </c>
      <c r="H246" s="16">
        <f t="shared" si="498"/>
        <v>0</v>
      </c>
      <c r="I246" s="16">
        <f t="shared" ref="I246" si="500">SUM(I247:I248)</f>
        <v>0</v>
      </c>
      <c r="J246" s="16">
        <f t="shared" si="294"/>
        <v>0</v>
      </c>
      <c r="K246" s="16">
        <f t="shared" si="498"/>
        <v>10811</v>
      </c>
      <c r="L246" s="16">
        <f t="shared" ref="L246" si="501">SUM(L247:L248)</f>
        <v>10811</v>
      </c>
      <c r="M246" s="16">
        <f t="shared" si="295"/>
        <v>0</v>
      </c>
      <c r="N246" s="16">
        <f t="shared" si="498"/>
        <v>0</v>
      </c>
      <c r="O246" s="16">
        <f t="shared" ref="O246" si="502">SUM(O247:O248)</f>
        <v>0</v>
      </c>
      <c r="P246" s="16">
        <f t="shared" si="296"/>
        <v>0</v>
      </c>
      <c r="Q246" s="16">
        <f t="shared" si="498"/>
        <v>0</v>
      </c>
      <c r="R246" s="16">
        <f t="shared" ref="R246" si="503">SUM(R247:R248)</f>
        <v>0</v>
      </c>
      <c r="S246" s="16">
        <f t="shared" si="297"/>
        <v>0</v>
      </c>
      <c r="T246" s="16">
        <f t="shared" si="498"/>
        <v>0</v>
      </c>
      <c r="U246" s="16">
        <f t="shared" ref="U246" si="504">SUM(U247:U248)</f>
        <v>0</v>
      </c>
      <c r="V246" s="16">
        <f t="shared" si="298"/>
        <v>0</v>
      </c>
      <c r="W246" s="16">
        <f t="shared" ref="W246" si="505">SUM(W247:W248)</f>
        <v>0</v>
      </c>
      <c r="X246" s="16">
        <f t="shared" ref="X246" si="506">SUM(X247:X248)</f>
        <v>0</v>
      </c>
      <c r="Y246" s="16">
        <f t="shared" si="299"/>
        <v>0</v>
      </c>
      <c r="Z246" s="16">
        <f t="shared" si="498"/>
        <v>0</v>
      </c>
      <c r="AA246" s="16">
        <f t="shared" ref="AA246" si="507">SUM(AA247:AA248)</f>
        <v>0</v>
      </c>
      <c r="AB246" s="16">
        <f t="shared" si="300"/>
        <v>0</v>
      </c>
    </row>
    <row r="247" spans="1:28" s="17" customFormat="1" ht="31.5" x14ac:dyDescent="0.25">
      <c r="A247" s="27" t="s">
        <v>162</v>
      </c>
      <c r="B247" s="23">
        <f t="shared" si="291"/>
        <v>2400</v>
      </c>
      <c r="C247" s="23">
        <f t="shared" si="455"/>
        <v>2400</v>
      </c>
      <c r="D247" s="23">
        <f t="shared" si="455"/>
        <v>0</v>
      </c>
      <c r="E247" s="23"/>
      <c r="F247" s="23"/>
      <c r="G247" s="23">
        <f t="shared" si="293"/>
        <v>0</v>
      </c>
      <c r="H247" s="23"/>
      <c r="I247" s="23"/>
      <c r="J247" s="23">
        <f t="shared" si="294"/>
        <v>0</v>
      </c>
      <c r="K247" s="23">
        <v>2400</v>
      </c>
      <c r="L247" s="23">
        <v>2400</v>
      </c>
      <c r="M247" s="23">
        <f t="shared" si="295"/>
        <v>0</v>
      </c>
      <c r="N247" s="23"/>
      <c r="O247" s="23"/>
      <c r="P247" s="23">
        <f t="shared" si="296"/>
        <v>0</v>
      </c>
      <c r="Q247" s="23"/>
      <c r="R247" s="23"/>
      <c r="S247" s="23">
        <f t="shared" si="297"/>
        <v>0</v>
      </c>
      <c r="T247" s="23"/>
      <c r="U247" s="23"/>
      <c r="V247" s="23">
        <f t="shared" si="298"/>
        <v>0</v>
      </c>
      <c r="W247" s="23"/>
      <c r="X247" s="23"/>
      <c r="Y247" s="23">
        <f t="shared" si="299"/>
        <v>0</v>
      </c>
      <c r="Z247" s="23"/>
      <c r="AA247" s="23"/>
      <c r="AB247" s="23">
        <f t="shared" si="300"/>
        <v>0</v>
      </c>
    </row>
    <row r="248" spans="1:28" s="17" customFormat="1" ht="47.25" x14ac:dyDescent="0.25">
      <c r="A248" s="27" t="s">
        <v>163</v>
      </c>
      <c r="B248" s="23">
        <f t="shared" si="291"/>
        <v>8411</v>
      </c>
      <c r="C248" s="23">
        <f t="shared" si="455"/>
        <v>8411</v>
      </c>
      <c r="D248" s="23">
        <f t="shared" si="455"/>
        <v>0</v>
      </c>
      <c r="E248" s="23"/>
      <c r="F248" s="23"/>
      <c r="G248" s="23">
        <f t="shared" si="293"/>
        <v>0</v>
      </c>
      <c r="H248" s="23"/>
      <c r="I248" s="23"/>
      <c r="J248" s="23">
        <f t="shared" si="294"/>
        <v>0</v>
      </c>
      <c r="K248" s="23">
        <v>8411</v>
      </c>
      <c r="L248" s="23">
        <v>8411</v>
      </c>
      <c r="M248" s="23">
        <f t="shared" si="295"/>
        <v>0</v>
      </c>
      <c r="N248" s="23"/>
      <c r="O248" s="23"/>
      <c r="P248" s="23">
        <f t="shared" si="296"/>
        <v>0</v>
      </c>
      <c r="Q248" s="23"/>
      <c r="R248" s="23"/>
      <c r="S248" s="23">
        <f t="shared" si="297"/>
        <v>0</v>
      </c>
      <c r="T248" s="23"/>
      <c r="U248" s="23"/>
      <c r="V248" s="23">
        <f t="shared" si="298"/>
        <v>0</v>
      </c>
      <c r="W248" s="23"/>
      <c r="X248" s="23"/>
      <c r="Y248" s="23">
        <f t="shared" si="299"/>
        <v>0</v>
      </c>
      <c r="Z248" s="23"/>
      <c r="AA248" s="23"/>
      <c r="AB248" s="23">
        <f t="shared" si="300"/>
        <v>0</v>
      </c>
    </row>
    <row r="249" spans="1:28" s="17" customFormat="1" x14ac:dyDescent="0.25">
      <c r="A249" s="15" t="s">
        <v>117</v>
      </c>
      <c r="B249" s="16">
        <f t="shared" si="291"/>
        <v>5991226</v>
      </c>
      <c r="C249" s="16">
        <f t="shared" si="455"/>
        <v>6007226</v>
      </c>
      <c r="D249" s="16">
        <f t="shared" si="455"/>
        <v>16000</v>
      </c>
      <c r="E249" s="16">
        <f t="shared" ref="E249:Z249" si="508">SUM(E250:E262)</f>
        <v>388303</v>
      </c>
      <c r="F249" s="16">
        <f t="shared" ref="F249" si="509">SUM(F250:F262)</f>
        <v>388303</v>
      </c>
      <c r="G249" s="16">
        <f t="shared" si="293"/>
        <v>0</v>
      </c>
      <c r="H249" s="16">
        <f t="shared" si="508"/>
        <v>282982</v>
      </c>
      <c r="I249" s="16">
        <f t="shared" ref="I249" si="510">SUM(I250:I262)</f>
        <v>282982</v>
      </c>
      <c r="J249" s="16">
        <f t="shared" si="294"/>
        <v>0</v>
      </c>
      <c r="K249" s="16">
        <f t="shared" si="508"/>
        <v>46000</v>
      </c>
      <c r="L249" s="16">
        <f t="shared" ref="L249" si="511">SUM(L250:L262)</f>
        <v>62000</v>
      </c>
      <c r="M249" s="16">
        <f t="shared" si="295"/>
        <v>16000</v>
      </c>
      <c r="N249" s="16">
        <f t="shared" si="508"/>
        <v>1091336</v>
      </c>
      <c r="O249" s="16">
        <f t="shared" ref="O249" si="512">SUM(O250:O262)</f>
        <v>1091336</v>
      </c>
      <c r="P249" s="16">
        <f t="shared" si="296"/>
        <v>0</v>
      </c>
      <c r="Q249" s="16">
        <f t="shared" si="508"/>
        <v>0</v>
      </c>
      <c r="R249" s="16">
        <f t="shared" ref="R249" si="513">SUM(R250:R262)</f>
        <v>0</v>
      </c>
      <c r="S249" s="16">
        <f t="shared" si="297"/>
        <v>0</v>
      </c>
      <c r="T249" s="16">
        <f t="shared" si="508"/>
        <v>3672605</v>
      </c>
      <c r="U249" s="16">
        <f t="shared" ref="U249" si="514">SUM(U250:U262)</f>
        <v>3672605</v>
      </c>
      <c r="V249" s="16">
        <f t="shared" si="298"/>
        <v>0</v>
      </c>
      <c r="W249" s="16">
        <f t="shared" ref="W249" si="515">SUM(W250:W262)</f>
        <v>0</v>
      </c>
      <c r="X249" s="16">
        <f t="shared" ref="X249" si="516">SUM(X250:X262)</f>
        <v>0</v>
      </c>
      <c r="Y249" s="16">
        <f t="shared" si="299"/>
        <v>0</v>
      </c>
      <c r="Z249" s="16">
        <f t="shared" si="508"/>
        <v>510000</v>
      </c>
      <c r="AA249" s="16">
        <f t="shared" ref="AA249" si="517">SUM(AA250:AA262)</f>
        <v>510000</v>
      </c>
      <c r="AB249" s="16">
        <f t="shared" si="300"/>
        <v>0</v>
      </c>
    </row>
    <row r="250" spans="1:28" s="17" customFormat="1" ht="47.25" x14ac:dyDescent="0.25">
      <c r="A250" s="27" t="s">
        <v>164</v>
      </c>
      <c r="B250" s="23">
        <f t="shared" si="291"/>
        <v>35000</v>
      </c>
      <c r="C250" s="23">
        <f t="shared" si="455"/>
        <v>35000</v>
      </c>
      <c r="D250" s="23">
        <f t="shared" si="455"/>
        <v>0</v>
      </c>
      <c r="E250" s="23">
        <v>35000</v>
      </c>
      <c r="F250" s="23">
        <v>35000</v>
      </c>
      <c r="G250" s="23">
        <f t="shared" si="293"/>
        <v>0</v>
      </c>
      <c r="H250" s="23"/>
      <c r="I250" s="23"/>
      <c r="J250" s="23">
        <f t="shared" si="294"/>
        <v>0</v>
      </c>
      <c r="K250" s="23"/>
      <c r="L250" s="23"/>
      <c r="M250" s="23">
        <f t="shared" si="295"/>
        <v>0</v>
      </c>
      <c r="N250" s="23"/>
      <c r="O250" s="23"/>
      <c r="P250" s="23">
        <f t="shared" si="296"/>
        <v>0</v>
      </c>
      <c r="Q250" s="23"/>
      <c r="R250" s="23"/>
      <c r="S250" s="23">
        <f t="shared" si="297"/>
        <v>0</v>
      </c>
      <c r="T250" s="23"/>
      <c r="U250" s="23"/>
      <c r="V250" s="23">
        <f t="shared" si="298"/>
        <v>0</v>
      </c>
      <c r="W250" s="23"/>
      <c r="X250" s="23"/>
      <c r="Y250" s="23">
        <f t="shared" si="299"/>
        <v>0</v>
      </c>
      <c r="Z250" s="23"/>
      <c r="AA250" s="23"/>
      <c r="AB250" s="23">
        <f t="shared" si="300"/>
        <v>0</v>
      </c>
    </row>
    <row r="251" spans="1:28" s="17" customFormat="1" x14ac:dyDescent="0.25">
      <c r="A251" s="22" t="s">
        <v>165</v>
      </c>
      <c r="B251" s="23">
        <f t="shared" si="291"/>
        <v>70000</v>
      </c>
      <c r="C251" s="23">
        <f t="shared" si="455"/>
        <v>70000</v>
      </c>
      <c r="D251" s="23">
        <f t="shared" si="455"/>
        <v>0</v>
      </c>
      <c r="E251" s="23">
        <v>7738</v>
      </c>
      <c r="F251" s="23">
        <v>7738</v>
      </c>
      <c r="G251" s="23">
        <f t="shared" si="293"/>
        <v>0</v>
      </c>
      <c r="H251" s="23">
        <v>62262</v>
      </c>
      <c r="I251" s="23">
        <v>62262</v>
      </c>
      <c r="J251" s="23">
        <f t="shared" si="294"/>
        <v>0</v>
      </c>
      <c r="K251" s="23"/>
      <c r="L251" s="23"/>
      <c r="M251" s="23">
        <f t="shared" si="295"/>
        <v>0</v>
      </c>
      <c r="N251" s="23"/>
      <c r="O251" s="23"/>
      <c r="P251" s="23">
        <f t="shared" si="296"/>
        <v>0</v>
      </c>
      <c r="Q251" s="23"/>
      <c r="R251" s="23"/>
      <c r="S251" s="23">
        <f t="shared" si="297"/>
        <v>0</v>
      </c>
      <c r="T251" s="23"/>
      <c r="U251" s="23"/>
      <c r="V251" s="23">
        <f t="shared" si="298"/>
        <v>0</v>
      </c>
      <c r="W251" s="23"/>
      <c r="X251" s="23"/>
      <c r="Y251" s="23">
        <f t="shared" si="299"/>
        <v>0</v>
      </c>
      <c r="Z251" s="23"/>
      <c r="AA251" s="23"/>
      <c r="AB251" s="23">
        <f t="shared" si="300"/>
        <v>0</v>
      </c>
    </row>
    <row r="252" spans="1:28" s="17" customFormat="1" ht="110.25" x14ac:dyDescent="0.25">
      <c r="A252" s="19" t="s">
        <v>166</v>
      </c>
      <c r="B252" s="23">
        <f t="shared" ref="B252:B327" si="518">E252+H252+K252+N252+Q252+T252+Z252</f>
        <v>49792</v>
      </c>
      <c r="C252" s="23">
        <f t="shared" si="455"/>
        <v>49792</v>
      </c>
      <c r="D252" s="23">
        <f t="shared" si="455"/>
        <v>0</v>
      </c>
      <c r="E252" s="23"/>
      <c r="F252" s="23"/>
      <c r="G252" s="23">
        <f t="shared" si="293"/>
        <v>0</v>
      </c>
      <c r="H252" s="23"/>
      <c r="I252" s="23"/>
      <c r="J252" s="23">
        <f t="shared" si="294"/>
        <v>0</v>
      </c>
      <c r="K252" s="23"/>
      <c r="L252" s="23"/>
      <c r="M252" s="23">
        <f t="shared" si="295"/>
        <v>0</v>
      </c>
      <c r="N252" s="23"/>
      <c r="O252" s="23"/>
      <c r="P252" s="23">
        <f t="shared" si="296"/>
        <v>0</v>
      </c>
      <c r="Q252" s="23"/>
      <c r="R252" s="23"/>
      <c r="S252" s="23">
        <f t="shared" si="297"/>
        <v>0</v>
      </c>
      <c r="T252" s="23">
        <v>49792</v>
      </c>
      <c r="U252" s="23">
        <v>49792</v>
      </c>
      <c r="V252" s="23">
        <f t="shared" si="298"/>
        <v>0</v>
      </c>
      <c r="W252" s="23"/>
      <c r="X252" s="23"/>
      <c r="Y252" s="23">
        <f t="shared" si="299"/>
        <v>0</v>
      </c>
      <c r="Z252" s="23"/>
      <c r="AA252" s="23"/>
      <c r="AB252" s="23">
        <f t="shared" si="300"/>
        <v>0</v>
      </c>
    </row>
    <row r="253" spans="1:28" s="17" customFormat="1" ht="47.25" x14ac:dyDescent="0.25">
      <c r="A253" s="19" t="s">
        <v>167</v>
      </c>
      <c r="B253" s="23">
        <f t="shared" si="518"/>
        <v>18646</v>
      </c>
      <c r="C253" s="23">
        <f t="shared" si="455"/>
        <v>18646</v>
      </c>
      <c r="D253" s="23">
        <f t="shared" si="455"/>
        <v>0</v>
      </c>
      <c r="E253" s="23"/>
      <c r="F253" s="23"/>
      <c r="G253" s="23">
        <f t="shared" si="293"/>
        <v>0</v>
      </c>
      <c r="H253" s="23"/>
      <c r="I253" s="23"/>
      <c r="J253" s="23">
        <f t="shared" si="294"/>
        <v>0</v>
      </c>
      <c r="K253" s="23">
        <v>15000</v>
      </c>
      <c r="L253" s="23">
        <v>15000</v>
      </c>
      <c r="M253" s="23">
        <f t="shared" si="295"/>
        <v>0</v>
      </c>
      <c r="N253" s="23"/>
      <c r="O253" s="23"/>
      <c r="P253" s="23">
        <f t="shared" si="296"/>
        <v>0</v>
      </c>
      <c r="Q253" s="23"/>
      <c r="R253" s="23"/>
      <c r="S253" s="23">
        <f t="shared" si="297"/>
        <v>0</v>
      </c>
      <c r="T253" s="23">
        <v>3646</v>
      </c>
      <c r="U253" s="23">
        <v>3646</v>
      </c>
      <c r="V253" s="23">
        <f t="shared" si="298"/>
        <v>0</v>
      </c>
      <c r="W253" s="23"/>
      <c r="X253" s="23"/>
      <c r="Y253" s="23">
        <f t="shared" si="299"/>
        <v>0</v>
      </c>
      <c r="Z253" s="23"/>
      <c r="AA253" s="23"/>
      <c r="AB253" s="23">
        <f t="shared" si="300"/>
        <v>0</v>
      </c>
    </row>
    <row r="254" spans="1:28" s="17" customFormat="1" ht="110.25" x14ac:dyDescent="0.25">
      <c r="A254" s="19" t="s">
        <v>168</v>
      </c>
      <c r="B254" s="23">
        <f t="shared" si="518"/>
        <v>3539431</v>
      </c>
      <c r="C254" s="23">
        <f t="shared" si="455"/>
        <v>3539431</v>
      </c>
      <c r="D254" s="23">
        <f t="shared" si="455"/>
        <v>0</v>
      </c>
      <c r="E254" s="23"/>
      <c r="F254" s="23"/>
      <c r="G254" s="23">
        <f t="shared" si="293"/>
        <v>0</v>
      </c>
      <c r="H254" s="23"/>
      <c r="I254" s="23"/>
      <c r="J254" s="23">
        <f t="shared" si="294"/>
        <v>0</v>
      </c>
      <c r="K254" s="23"/>
      <c r="L254" s="23"/>
      <c r="M254" s="23">
        <f t="shared" si="295"/>
        <v>0</v>
      </c>
      <c r="N254" s="23"/>
      <c r="O254" s="23"/>
      <c r="P254" s="23">
        <f t="shared" si="296"/>
        <v>0</v>
      </c>
      <c r="Q254" s="23"/>
      <c r="R254" s="23"/>
      <c r="S254" s="23">
        <f t="shared" si="297"/>
        <v>0</v>
      </c>
      <c r="T254" s="23">
        <f>3503649+35782</f>
        <v>3539431</v>
      </c>
      <c r="U254" s="23">
        <f>3503649+35782</f>
        <v>3539431</v>
      </c>
      <c r="V254" s="23">
        <f t="shared" si="298"/>
        <v>0</v>
      </c>
      <c r="W254" s="23"/>
      <c r="X254" s="23"/>
      <c r="Y254" s="23">
        <f t="shared" si="299"/>
        <v>0</v>
      </c>
      <c r="Z254" s="23"/>
      <c r="AA254" s="23"/>
      <c r="AB254" s="23">
        <f t="shared" si="300"/>
        <v>0</v>
      </c>
    </row>
    <row r="255" spans="1:28" s="17" customFormat="1" ht="110.25" x14ac:dyDescent="0.25">
      <c r="A255" s="19" t="s">
        <v>169</v>
      </c>
      <c r="B255" s="23">
        <f t="shared" si="518"/>
        <v>570017</v>
      </c>
      <c r="C255" s="23">
        <f t="shared" ref="C255:D271" si="519">F255+I255+L255+O255+R255+U255+AA255</f>
        <v>570017</v>
      </c>
      <c r="D255" s="23">
        <f t="shared" si="519"/>
        <v>0</v>
      </c>
      <c r="E255" s="23">
        <v>0</v>
      </c>
      <c r="F255" s="23">
        <v>0</v>
      </c>
      <c r="G255" s="23">
        <f t="shared" ref="G255:G326" si="520">F255-E255</f>
        <v>0</v>
      </c>
      <c r="H255" s="23">
        <v>60017</v>
      </c>
      <c r="I255" s="23">
        <v>60017</v>
      </c>
      <c r="J255" s="23">
        <f t="shared" ref="J255:J326" si="521">I255-H255</f>
        <v>0</v>
      </c>
      <c r="K255" s="23"/>
      <c r="L255" s="23"/>
      <c r="M255" s="23">
        <f t="shared" ref="M255:M326" si="522">L255-K255</f>
        <v>0</v>
      </c>
      <c r="N255" s="23"/>
      <c r="O255" s="23"/>
      <c r="P255" s="23">
        <f t="shared" ref="P255:P326" si="523">O255-N255</f>
        <v>0</v>
      </c>
      <c r="Q255" s="23"/>
      <c r="R255" s="23"/>
      <c r="S255" s="23">
        <f t="shared" ref="S255:S326" si="524">R255-Q255</f>
        <v>0</v>
      </c>
      <c r="T255" s="23"/>
      <c r="U255" s="23"/>
      <c r="V255" s="23">
        <f t="shared" ref="V255:V326" si="525">U255-T255</f>
        <v>0</v>
      </c>
      <c r="W255" s="23"/>
      <c r="X255" s="23"/>
      <c r="Y255" s="23">
        <f t="shared" ref="Y255:Y326" si="526">X255-W255</f>
        <v>0</v>
      </c>
      <c r="Z255" s="23">
        <f>250000+83000+177000</f>
        <v>510000</v>
      </c>
      <c r="AA255" s="23">
        <f>250000+83000+177000</f>
        <v>510000</v>
      </c>
      <c r="AB255" s="23">
        <f t="shared" ref="AB255:AB326" si="527">AA255-Z255</f>
        <v>0</v>
      </c>
    </row>
    <row r="256" spans="1:28" s="17" customFormat="1" ht="31.5" x14ac:dyDescent="0.25">
      <c r="A256" s="19" t="s">
        <v>170</v>
      </c>
      <c r="B256" s="23">
        <f t="shared" si="518"/>
        <v>31000</v>
      </c>
      <c r="C256" s="23">
        <f t="shared" si="519"/>
        <v>31000</v>
      </c>
      <c r="D256" s="23">
        <f t="shared" si="519"/>
        <v>0</v>
      </c>
      <c r="E256" s="23"/>
      <c r="F256" s="23"/>
      <c r="G256" s="23">
        <f t="shared" si="520"/>
        <v>0</v>
      </c>
      <c r="H256" s="23"/>
      <c r="I256" s="23"/>
      <c r="J256" s="23">
        <f t="shared" si="521"/>
        <v>0</v>
      </c>
      <c r="K256" s="23">
        <f>31000</f>
        <v>31000</v>
      </c>
      <c r="L256" s="23">
        <f>31000</f>
        <v>31000</v>
      </c>
      <c r="M256" s="23">
        <f t="shared" si="522"/>
        <v>0</v>
      </c>
      <c r="N256" s="23"/>
      <c r="O256" s="23"/>
      <c r="P256" s="23">
        <f t="shared" si="523"/>
        <v>0</v>
      </c>
      <c r="Q256" s="23"/>
      <c r="R256" s="23"/>
      <c r="S256" s="23">
        <f t="shared" si="524"/>
        <v>0</v>
      </c>
      <c r="T256" s="23"/>
      <c r="U256" s="23"/>
      <c r="V256" s="23">
        <f t="shared" si="525"/>
        <v>0</v>
      </c>
      <c r="W256" s="23"/>
      <c r="X256" s="23"/>
      <c r="Y256" s="23">
        <f t="shared" si="526"/>
        <v>0</v>
      </c>
      <c r="Z256" s="23"/>
      <c r="AA256" s="23"/>
      <c r="AB256" s="23">
        <f t="shared" si="527"/>
        <v>0</v>
      </c>
    </row>
    <row r="257" spans="1:189" s="17" customFormat="1" ht="31.5" x14ac:dyDescent="0.25">
      <c r="A257" s="19" t="s">
        <v>171</v>
      </c>
      <c r="B257" s="23">
        <f t="shared" si="518"/>
        <v>60000</v>
      </c>
      <c r="C257" s="23">
        <f t="shared" si="519"/>
        <v>60000</v>
      </c>
      <c r="D257" s="23">
        <f t="shared" si="519"/>
        <v>0</v>
      </c>
      <c r="E257" s="23">
        <v>60000</v>
      </c>
      <c r="F257" s="23">
        <v>60000</v>
      </c>
      <c r="G257" s="23">
        <f t="shared" si="520"/>
        <v>0</v>
      </c>
      <c r="H257" s="23"/>
      <c r="I257" s="23"/>
      <c r="J257" s="23">
        <f t="shared" si="521"/>
        <v>0</v>
      </c>
      <c r="K257" s="23"/>
      <c r="L257" s="23"/>
      <c r="M257" s="23">
        <f t="shared" si="522"/>
        <v>0</v>
      </c>
      <c r="N257" s="23"/>
      <c r="O257" s="23"/>
      <c r="P257" s="23">
        <f t="shared" si="523"/>
        <v>0</v>
      </c>
      <c r="Q257" s="23"/>
      <c r="R257" s="23"/>
      <c r="S257" s="23">
        <f t="shared" si="524"/>
        <v>0</v>
      </c>
      <c r="T257" s="23"/>
      <c r="U257" s="23"/>
      <c r="V257" s="23">
        <f t="shared" si="525"/>
        <v>0</v>
      </c>
      <c r="W257" s="23"/>
      <c r="X257" s="23"/>
      <c r="Y257" s="23">
        <f t="shared" si="526"/>
        <v>0</v>
      </c>
      <c r="Z257" s="23"/>
      <c r="AA257" s="23"/>
      <c r="AB257" s="23">
        <f t="shared" si="527"/>
        <v>0</v>
      </c>
    </row>
    <row r="258" spans="1:189" s="17" customFormat="1" ht="31.5" x14ac:dyDescent="0.25">
      <c r="A258" s="19" t="s">
        <v>172</v>
      </c>
      <c r="B258" s="23">
        <f t="shared" si="518"/>
        <v>150000</v>
      </c>
      <c r="C258" s="23">
        <f t="shared" si="519"/>
        <v>150000</v>
      </c>
      <c r="D258" s="23">
        <f t="shared" si="519"/>
        <v>0</v>
      </c>
      <c r="E258" s="23">
        <v>70264</v>
      </c>
      <c r="F258" s="23">
        <v>70264</v>
      </c>
      <c r="G258" s="23">
        <f t="shared" si="520"/>
        <v>0</v>
      </c>
      <c r="H258" s="23"/>
      <c r="I258" s="23"/>
      <c r="J258" s="23">
        <f t="shared" si="521"/>
        <v>0</v>
      </c>
      <c r="K258" s="23"/>
      <c r="L258" s="23"/>
      <c r="M258" s="23">
        <f t="shared" si="522"/>
        <v>0</v>
      </c>
      <c r="N258" s="23"/>
      <c r="O258" s="23"/>
      <c r="P258" s="23">
        <f t="shared" si="523"/>
        <v>0</v>
      </c>
      <c r="Q258" s="23"/>
      <c r="R258" s="23"/>
      <c r="S258" s="23">
        <f t="shared" si="524"/>
        <v>0</v>
      </c>
      <c r="T258" s="23">
        <v>79736</v>
      </c>
      <c r="U258" s="23">
        <v>79736</v>
      </c>
      <c r="V258" s="23">
        <f t="shared" si="525"/>
        <v>0</v>
      </c>
      <c r="W258" s="23"/>
      <c r="X258" s="23"/>
      <c r="Y258" s="23">
        <f t="shared" si="526"/>
        <v>0</v>
      </c>
      <c r="Z258" s="23"/>
      <c r="AA258" s="23"/>
      <c r="AB258" s="23">
        <f t="shared" si="527"/>
        <v>0</v>
      </c>
    </row>
    <row r="259" spans="1:189" s="17" customFormat="1" ht="94.5" x14ac:dyDescent="0.25">
      <c r="A259" s="19" t="s">
        <v>173</v>
      </c>
      <c r="B259" s="23">
        <f t="shared" si="518"/>
        <v>1091336</v>
      </c>
      <c r="C259" s="23">
        <f t="shared" si="519"/>
        <v>1091336</v>
      </c>
      <c r="D259" s="23">
        <f t="shared" si="519"/>
        <v>0</v>
      </c>
      <c r="E259" s="23"/>
      <c r="F259" s="23"/>
      <c r="G259" s="23">
        <f t="shared" si="520"/>
        <v>0</v>
      </c>
      <c r="H259" s="23"/>
      <c r="I259" s="23"/>
      <c r="J259" s="23">
        <f t="shared" si="521"/>
        <v>0</v>
      </c>
      <c r="K259" s="23"/>
      <c r="L259" s="23"/>
      <c r="M259" s="23">
        <f t="shared" si="522"/>
        <v>0</v>
      </c>
      <c r="N259" s="23">
        <v>1091336</v>
      </c>
      <c r="O259" s="23">
        <v>1091336</v>
      </c>
      <c r="P259" s="23">
        <f t="shared" si="523"/>
        <v>0</v>
      </c>
      <c r="Q259" s="23"/>
      <c r="R259" s="23"/>
      <c r="S259" s="23">
        <f t="shared" si="524"/>
        <v>0</v>
      </c>
      <c r="T259" s="23"/>
      <c r="U259" s="23"/>
      <c r="V259" s="23">
        <f t="shared" si="525"/>
        <v>0</v>
      </c>
      <c r="W259" s="23"/>
      <c r="X259" s="23"/>
      <c r="Y259" s="23">
        <f t="shared" si="526"/>
        <v>0</v>
      </c>
      <c r="Z259" s="23"/>
      <c r="AA259" s="23"/>
      <c r="AB259" s="23">
        <f t="shared" si="527"/>
        <v>0</v>
      </c>
    </row>
    <row r="260" spans="1:189" s="17" customFormat="1" ht="63" x14ac:dyDescent="0.25">
      <c r="A260" s="30" t="s">
        <v>174</v>
      </c>
      <c r="B260" s="23">
        <f t="shared" si="518"/>
        <v>10703</v>
      </c>
      <c r="C260" s="23">
        <f t="shared" si="519"/>
        <v>26703</v>
      </c>
      <c r="D260" s="23">
        <f t="shared" si="519"/>
        <v>16000</v>
      </c>
      <c r="E260" s="23"/>
      <c r="F260" s="23"/>
      <c r="G260" s="23">
        <f t="shared" si="520"/>
        <v>0</v>
      </c>
      <c r="H260" s="23">
        <v>10703</v>
      </c>
      <c r="I260" s="23">
        <v>10703</v>
      </c>
      <c r="J260" s="23">
        <f t="shared" si="521"/>
        <v>0</v>
      </c>
      <c r="K260" s="23"/>
      <c r="L260" s="23">
        <v>16000</v>
      </c>
      <c r="M260" s="23">
        <f t="shared" si="522"/>
        <v>16000</v>
      </c>
      <c r="N260" s="23"/>
      <c r="O260" s="23"/>
      <c r="P260" s="23">
        <f t="shared" si="523"/>
        <v>0</v>
      </c>
      <c r="Q260" s="23"/>
      <c r="R260" s="23"/>
      <c r="S260" s="23">
        <f t="shared" si="524"/>
        <v>0</v>
      </c>
      <c r="T260" s="23"/>
      <c r="U260" s="23"/>
      <c r="V260" s="23">
        <f t="shared" si="525"/>
        <v>0</v>
      </c>
      <c r="W260" s="23"/>
      <c r="X260" s="23"/>
      <c r="Y260" s="23">
        <f t="shared" si="526"/>
        <v>0</v>
      </c>
      <c r="Z260" s="23"/>
      <c r="AA260" s="23"/>
      <c r="AB260" s="23">
        <f t="shared" si="527"/>
        <v>0</v>
      </c>
    </row>
    <row r="261" spans="1:189" s="17" customFormat="1" ht="31.5" x14ac:dyDescent="0.25">
      <c r="A261" s="22" t="s">
        <v>175</v>
      </c>
      <c r="B261" s="23">
        <f t="shared" si="518"/>
        <v>150000</v>
      </c>
      <c r="C261" s="23">
        <f t="shared" si="519"/>
        <v>150000</v>
      </c>
      <c r="D261" s="23">
        <f t="shared" si="519"/>
        <v>0</v>
      </c>
      <c r="E261" s="23"/>
      <c r="F261" s="23"/>
      <c r="G261" s="23">
        <f t="shared" si="520"/>
        <v>0</v>
      </c>
      <c r="H261" s="23">
        <v>150000</v>
      </c>
      <c r="I261" s="23">
        <v>150000</v>
      </c>
      <c r="J261" s="23">
        <f t="shared" si="521"/>
        <v>0</v>
      </c>
      <c r="K261" s="23"/>
      <c r="L261" s="23"/>
      <c r="M261" s="23">
        <f t="shared" si="522"/>
        <v>0</v>
      </c>
      <c r="N261" s="23"/>
      <c r="O261" s="23"/>
      <c r="P261" s="23">
        <f t="shared" si="523"/>
        <v>0</v>
      </c>
      <c r="Q261" s="23"/>
      <c r="R261" s="23"/>
      <c r="S261" s="23">
        <f t="shared" si="524"/>
        <v>0</v>
      </c>
      <c r="T261" s="23"/>
      <c r="U261" s="23"/>
      <c r="V261" s="23">
        <f t="shared" si="525"/>
        <v>0</v>
      </c>
      <c r="W261" s="23"/>
      <c r="X261" s="23"/>
      <c r="Y261" s="23">
        <f t="shared" si="526"/>
        <v>0</v>
      </c>
      <c r="Z261" s="23"/>
      <c r="AA261" s="23"/>
      <c r="AB261" s="23">
        <f t="shared" si="527"/>
        <v>0</v>
      </c>
    </row>
    <row r="262" spans="1:189" s="17" customFormat="1" ht="31.5" x14ac:dyDescent="0.25">
      <c r="A262" s="22" t="s">
        <v>176</v>
      </c>
      <c r="B262" s="23">
        <f t="shared" si="518"/>
        <v>215301</v>
      </c>
      <c r="C262" s="23">
        <f t="shared" si="519"/>
        <v>215301</v>
      </c>
      <c r="D262" s="23">
        <f t="shared" si="519"/>
        <v>0</v>
      </c>
      <c r="E262" s="23">
        <v>215301</v>
      </c>
      <c r="F262" s="23">
        <v>215301</v>
      </c>
      <c r="G262" s="23">
        <f t="shared" si="520"/>
        <v>0</v>
      </c>
      <c r="H262" s="23"/>
      <c r="I262" s="23"/>
      <c r="J262" s="23">
        <f t="shared" si="521"/>
        <v>0</v>
      </c>
      <c r="K262" s="23"/>
      <c r="L262" s="23"/>
      <c r="M262" s="23">
        <f t="shared" si="522"/>
        <v>0</v>
      </c>
      <c r="N262" s="23"/>
      <c r="O262" s="23"/>
      <c r="P262" s="23">
        <f t="shared" si="523"/>
        <v>0</v>
      </c>
      <c r="Q262" s="23"/>
      <c r="R262" s="23"/>
      <c r="S262" s="23">
        <f t="shared" si="524"/>
        <v>0</v>
      </c>
      <c r="T262" s="23"/>
      <c r="U262" s="23"/>
      <c r="V262" s="23">
        <f t="shared" si="525"/>
        <v>0</v>
      </c>
      <c r="W262" s="23"/>
      <c r="X262" s="23"/>
      <c r="Y262" s="23">
        <f t="shared" si="526"/>
        <v>0</v>
      </c>
      <c r="Z262" s="23"/>
      <c r="AA262" s="23"/>
      <c r="AB262" s="23">
        <f t="shared" si="527"/>
        <v>0</v>
      </c>
    </row>
    <row r="263" spans="1:189" s="17" customFormat="1" x14ac:dyDescent="0.25">
      <c r="A263" s="29" t="s">
        <v>155</v>
      </c>
      <c r="B263" s="18">
        <f t="shared" si="518"/>
        <v>3000</v>
      </c>
      <c r="C263" s="18">
        <f t="shared" si="519"/>
        <v>3000</v>
      </c>
      <c r="D263" s="18">
        <f t="shared" si="519"/>
        <v>0</v>
      </c>
      <c r="E263" s="18">
        <f t="shared" ref="E263:AA263" si="528">SUM(E264:E264)</f>
        <v>0</v>
      </c>
      <c r="F263" s="18">
        <f t="shared" si="528"/>
        <v>0</v>
      </c>
      <c r="G263" s="18">
        <f t="shared" si="520"/>
        <v>0</v>
      </c>
      <c r="H263" s="18">
        <f t="shared" si="528"/>
        <v>0</v>
      </c>
      <c r="I263" s="18">
        <f t="shared" si="528"/>
        <v>0</v>
      </c>
      <c r="J263" s="18">
        <f t="shared" si="521"/>
        <v>0</v>
      </c>
      <c r="K263" s="18">
        <f t="shared" si="528"/>
        <v>3000</v>
      </c>
      <c r="L263" s="18">
        <f t="shared" si="528"/>
        <v>3000</v>
      </c>
      <c r="M263" s="18">
        <f t="shared" si="522"/>
        <v>0</v>
      </c>
      <c r="N263" s="18">
        <f t="shared" si="528"/>
        <v>0</v>
      </c>
      <c r="O263" s="18">
        <f t="shared" si="528"/>
        <v>0</v>
      </c>
      <c r="P263" s="18">
        <f t="shared" si="523"/>
        <v>0</v>
      </c>
      <c r="Q263" s="18">
        <f t="shared" si="528"/>
        <v>0</v>
      </c>
      <c r="R263" s="18">
        <f t="shared" si="528"/>
        <v>0</v>
      </c>
      <c r="S263" s="18">
        <f t="shared" si="524"/>
        <v>0</v>
      </c>
      <c r="T263" s="18">
        <f t="shared" si="528"/>
        <v>0</v>
      </c>
      <c r="U263" s="18">
        <f t="shared" si="528"/>
        <v>0</v>
      </c>
      <c r="V263" s="18">
        <f t="shared" si="525"/>
        <v>0</v>
      </c>
      <c r="W263" s="18">
        <f t="shared" si="528"/>
        <v>0</v>
      </c>
      <c r="X263" s="18">
        <f t="shared" si="528"/>
        <v>0</v>
      </c>
      <c r="Y263" s="18">
        <f t="shared" si="526"/>
        <v>0</v>
      </c>
      <c r="Z263" s="18">
        <f t="shared" si="528"/>
        <v>0</v>
      </c>
      <c r="AA263" s="18">
        <f t="shared" si="528"/>
        <v>0</v>
      </c>
      <c r="AB263" s="18">
        <f t="shared" si="527"/>
        <v>0</v>
      </c>
    </row>
    <row r="264" spans="1:189" s="17" customFormat="1" ht="31.5" x14ac:dyDescent="0.25">
      <c r="A264" s="22" t="s">
        <v>177</v>
      </c>
      <c r="B264" s="23">
        <f t="shared" si="518"/>
        <v>3000</v>
      </c>
      <c r="C264" s="23">
        <f t="shared" si="519"/>
        <v>3000</v>
      </c>
      <c r="D264" s="23">
        <f t="shared" si="519"/>
        <v>0</v>
      </c>
      <c r="E264" s="23"/>
      <c r="F264" s="23"/>
      <c r="G264" s="23">
        <f t="shared" si="520"/>
        <v>0</v>
      </c>
      <c r="H264" s="23"/>
      <c r="I264" s="23"/>
      <c r="J264" s="23">
        <f t="shared" si="521"/>
        <v>0</v>
      </c>
      <c r="K264" s="23">
        <v>3000</v>
      </c>
      <c r="L264" s="23">
        <v>3000</v>
      </c>
      <c r="M264" s="23">
        <f t="shared" si="522"/>
        <v>0</v>
      </c>
      <c r="N264" s="23"/>
      <c r="O264" s="23"/>
      <c r="P264" s="23">
        <f t="shared" si="523"/>
        <v>0</v>
      </c>
      <c r="Q264" s="23"/>
      <c r="R264" s="23"/>
      <c r="S264" s="23">
        <f t="shared" si="524"/>
        <v>0</v>
      </c>
      <c r="T264" s="23"/>
      <c r="U264" s="23"/>
      <c r="V264" s="23">
        <f t="shared" si="525"/>
        <v>0</v>
      </c>
      <c r="W264" s="23"/>
      <c r="X264" s="23"/>
      <c r="Y264" s="23">
        <f t="shared" si="526"/>
        <v>0</v>
      </c>
      <c r="Z264" s="23"/>
      <c r="AA264" s="23"/>
      <c r="AB264" s="23">
        <f t="shared" si="527"/>
        <v>0</v>
      </c>
      <c r="FN264" s="14"/>
      <c r="FO264" s="14"/>
      <c r="FP264" s="14"/>
      <c r="FQ264" s="14"/>
      <c r="FR264" s="14"/>
      <c r="FS264" s="14"/>
      <c r="FT264" s="14"/>
      <c r="FU264" s="14"/>
      <c r="FV264" s="14"/>
      <c r="FW264" s="14"/>
      <c r="FX264" s="14"/>
      <c r="FY264" s="14"/>
      <c r="FZ264" s="14"/>
      <c r="GA264" s="14"/>
      <c r="GB264" s="14"/>
      <c r="GC264" s="14"/>
      <c r="GD264" s="14"/>
      <c r="GE264" s="14"/>
      <c r="GF264" s="14"/>
      <c r="GG264" s="14"/>
    </row>
    <row r="265" spans="1:189" s="17" customFormat="1" ht="31.5" x14ac:dyDescent="0.25">
      <c r="A265" s="15" t="s">
        <v>89</v>
      </c>
      <c r="B265" s="16">
        <f t="shared" si="518"/>
        <v>529057</v>
      </c>
      <c r="C265" s="16">
        <f t="shared" si="519"/>
        <v>545449</v>
      </c>
      <c r="D265" s="16">
        <f t="shared" si="519"/>
        <v>16392</v>
      </c>
      <c r="E265" s="16">
        <f>SUM(E272,E289,E283,E292,E286,E266)</f>
        <v>0</v>
      </c>
      <c r="F265" s="16">
        <f>SUM(F272,F289,F283,F292,F286,F266)</f>
        <v>0</v>
      </c>
      <c r="G265" s="16">
        <f t="shared" si="520"/>
        <v>0</v>
      </c>
      <c r="H265" s="16">
        <f t="shared" ref="H265:Z265" si="529">SUM(H272,H289,H283,H292,H286,H266)</f>
        <v>0</v>
      </c>
      <c r="I265" s="16">
        <f t="shared" ref="I265" si="530">SUM(I272,I289,I283,I292,I286,I266)</f>
        <v>0</v>
      </c>
      <c r="J265" s="16">
        <f t="shared" si="521"/>
        <v>0</v>
      </c>
      <c r="K265" s="16">
        <f t="shared" si="529"/>
        <v>302293</v>
      </c>
      <c r="L265" s="16">
        <f t="shared" ref="L265" si="531">SUM(L272,L289,L283,L292,L286,L266)</f>
        <v>317259</v>
      </c>
      <c r="M265" s="16">
        <f t="shared" si="522"/>
        <v>14966</v>
      </c>
      <c r="N265" s="16">
        <f t="shared" si="529"/>
        <v>170764</v>
      </c>
      <c r="O265" s="16">
        <f t="shared" ref="O265" si="532">SUM(O272,O289,O283,O292,O286,O266)</f>
        <v>172190</v>
      </c>
      <c r="P265" s="16">
        <f t="shared" si="523"/>
        <v>1426</v>
      </c>
      <c r="Q265" s="16">
        <f t="shared" si="529"/>
        <v>56000</v>
      </c>
      <c r="R265" s="16">
        <f t="shared" ref="R265" si="533">SUM(R272,R289,R283,R292,R286,R266)</f>
        <v>56000</v>
      </c>
      <c r="S265" s="16">
        <f t="shared" si="524"/>
        <v>0</v>
      </c>
      <c r="T265" s="16">
        <f t="shared" si="529"/>
        <v>0</v>
      </c>
      <c r="U265" s="16">
        <f t="shared" ref="U265" si="534">SUM(U272,U289,U283,U292,U286,U266)</f>
        <v>0</v>
      </c>
      <c r="V265" s="16">
        <f t="shared" si="525"/>
        <v>0</v>
      </c>
      <c r="W265" s="16">
        <f t="shared" ref="W265" si="535">SUM(W272,W289,W283,W292,W286,W266)</f>
        <v>0</v>
      </c>
      <c r="X265" s="16">
        <f t="shared" ref="X265" si="536">SUM(X272,X289,X283,X292,X286,X266)</f>
        <v>0</v>
      </c>
      <c r="Y265" s="16">
        <f t="shared" si="526"/>
        <v>0</v>
      </c>
      <c r="Z265" s="16">
        <f t="shared" si="529"/>
        <v>0</v>
      </c>
      <c r="AA265" s="16">
        <f t="shared" ref="AA265" si="537">SUM(AA272,AA289,AA283,AA292,AA286,AA266)</f>
        <v>0</v>
      </c>
      <c r="AB265" s="16">
        <f t="shared" si="527"/>
        <v>0</v>
      </c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14"/>
      <c r="EF265" s="14"/>
      <c r="EG265" s="14"/>
      <c r="EH265" s="14"/>
      <c r="EI265" s="14"/>
      <c r="EJ265" s="14"/>
      <c r="EK265" s="14"/>
      <c r="EL265" s="14"/>
      <c r="EM265" s="14"/>
      <c r="EN265" s="14"/>
      <c r="EO265" s="14"/>
      <c r="EP265" s="14"/>
      <c r="EQ265" s="14"/>
      <c r="ER265" s="14"/>
      <c r="ES265" s="14"/>
      <c r="ET265" s="14"/>
      <c r="EU265" s="14"/>
      <c r="EV265" s="14"/>
      <c r="EW265" s="14"/>
      <c r="EX265" s="14"/>
      <c r="EY265" s="14"/>
      <c r="EZ265" s="14"/>
      <c r="FA265" s="14"/>
      <c r="FB265" s="14"/>
      <c r="FC265" s="14"/>
      <c r="FD265" s="14"/>
      <c r="FE265" s="14"/>
      <c r="FF265" s="14"/>
      <c r="FG265" s="14"/>
      <c r="FH265" s="14"/>
      <c r="FI265" s="14"/>
      <c r="FJ265" s="14"/>
      <c r="FK265" s="14"/>
      <c r="FL265" s="14"/>
      <c r="FM265" s="14"/>
      <c r="FN265" s="14"/>
      <c r="FO265" s="14"/>
      <c r="FP265" s="14"/>
      <c r="FQ265" s="14"/>
      <c r="FR265" s="14"/>
      <c r="FS265" s="14"/>
      <c r="FT265" s="14"/>
      <c r="FU265" s="14"/>
      <c r="FV265" s="14"/>
      <c r="FW265" s="14"/>
      <c r="FX265" s="14"/>
      <c r="FY265" s="14"/>
      <c r="FZ265" s="14"/>
      <c r="GA265" s="14"/>
      <c r="GB265" s="14"/>
      <c r="GC265" s="14"/>
      <c r="GD265" s="14"/>
      <c r="GE265" s="14"/>
      <c r="GF265" s="14"/>
      <c r="GG265" s="14"/>
    </row>
    <row r="266" spans="1:189" s="17" customFormat="1" x14ac:dyDescent="0.25">
      <c r="A266" s="15" t="s">
        <v>105</v>
      </c>
      <c r="B266" s="16">
        <f t="shared" si="518"/>
        <v>19440</v>
      </c>
      <c r="C266" s="16">
        <f t="shared" si="519"/>
        <v>18416</v>
      </c>
      <c r="D266" s="16">
        <f t="shared" si="519"/>
        <v>-1024</v>
      </c>
      <c r="E266" s="16">
        <f t="shared" ref="E266:Z266" si="538">SUM(E267:E271)</f>
        <v>0</v>
      </c>
      <c r="F266" s="16">
        <f t="shared" ref="F266" si="539">SUM(F267:F271)</f>
        <v>0</v>
      </c>
      <c r="G266" s="16">
        <f t="shared" si="520"/>
        <v>0</v>
      </c>
      <c r="H266" s="16">
        <f t="shared" si="538"/>
        <v>0</v>
      </c>
      <c r="I266" s="16">
        <f t="shared" ref="I266" si="540">SUM(I267:I271)</f>
        <v>0</v>
      </c>
      <c r="J266" s="16">
        <f t="shared" si="521"/>
        <v>0</v>
      </c>
      <c r="K266" s="16">
        <f t="shared" si="538"/>
        <v>19440</v>
      </c>
      <c r="L266" s="16">
        <f t="shared" ref="L266" si="541">SUM(L267:L271)</f>
        <v>16990</v>
      </c>
      <c r="M266" s="16">
        <f t="shared" si="522"/>
        <v>-2450</v>
      </c>
      <c r="N266" s="16">
        <f t="shared" si="538"/>
        <v>0</v>
      </c>
      <c r="O266" s="16">
        <f t="shared" ref="O266" si="542">SUM(O267:O271)</f>
        <v>1426</v>
      </c>
      <c r="P266" s="16">
        <f t="shared" si="523"/>
        <v>1426</v>
      </c>
      <c r="Q266" s="16">
        <f t="shared" si="538"/>
        <v>0</v>
      </c>
      <c r="R266" s="16">
        <f t="shared" ref="R266" si="543">SUM(R267:R271)</f>
        <v>0</v>
      </c>
      <c r="S266" s="16">
        <f t="shared" si="524"/>
        <v>0</v>
      </c>
      <c r="T266" s="16">
        <f t="shared" si="538"/>
        <v>0</v>
      </c>
      <c r="U266" s="16">
        <f t="shared" ref="U266" si="544">SUM(U267:U271)</f>
        <v>0</v>
      </c>
      <c r="V266" s="16">
        <f t="shared" si="525"/>
        <v>0</v>
      </c>
      <c r="W266" s="16">
        <f t="shared" ref="W266" si="545">SUM(W267:W271)</f>
        <v>0</v>
      </c>
      <c r="X266" s="16">
        <f t="shared" ref="X266" si="546">SUM(X267:X271)</f>
        <v>0</v>
      </c>
      <c r="Y266" s="16">
        <f t="shared" si="526"/>
        <v>0</v>
      </c>
      <c r="Z266" s="16">
        <f t="shared" si="538"/>
        <v>0</v>
      </c>
      <c r="AA266" s="16">
        <f t="shared" ref="AA266" si="547">SUM(AA267:AA271)</f>
        <v>0</v>
      </c>
      <c r="AB266" s="16">
        <f t="shared" si="527"/>
        <v>0</v>
      </c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14"/>
      <c r="EF266" s="14"/>
      <c r="EG266" s="14"/>
      <c r="EH266" s="14"/>
      <c r="EI266" s="14"/>
      <c r="EJ266" s="14"/>
      <c r="EK266" s="14"/>
      <c r="EL266" s="14"/>
      <c r="EM266" s="14"/>
      <c r="EN266" s="14"/>
      <c r="EO266" s="14"/>
      <c r="EP266" s="14"/>
      <c r="EQ266" s="14"/>
      <c r="ER266" s="14"/>
      <c r="ES266" s="14"/>
      <c r="ET266" s="14"/>
      <c r="EU266" s="14"/>
      <c r="EV266" s="14"/>
      <c r="EW266" s="14"/>
      <c r="EX266" s="14"/>
      <c r="EY266" s="14"/>
      <c r="EZ266" s="14"/>
      <c r="FA266" s="14"/>
      <c r="FB266" s="14"/>
      <c r="FC266" s="14"/>
      <c r="FD266" s="14"/>
      <c r="FE266" s="14"/>
      <c r="FF266" s="14"/>
      <c r="FG266" s="14"/>
      <c r="FH266" s="14"/>
      <c r="FI266" s="14"/>
      <c r="FJ266" s="14"/>
      <c r="FK266" s="14"/>
      <c r="FL266" s="14"/>
      <c r="FM266" s="14"/>
      <c r="FN266" s="14"/>
      <c r="FO266" s="14"/>
      <c r="FP266" s="14"/>
      <c r="FQ266" s="14"/>
      <c r="FR266" s="14"/>
      <c r="FS266" s="14"/>
      <c r="FT266" s="14"/>
      <c r="FU266" s="14"/>
      <c r="FV266" s="14"/>
      <c r="FW266" s="14"/>
      <c r="FX266" s="14"/>
      <c r="FY266" s="14"/>
      <c r="FZ266" s="14"/>
      <c r="GA266" s="14"/>
      <c r="GB266" s="14"/>
      <c r="GC266" s="14"/>
      <c r="GD266" s="14"/>
      <c r="GE266" s="14"/>
      <c r="GF266" s="14"/>
      <c r="GG266" s="14"/>
    </row>
    <row r="267" spans="1:189" s="17" customFormat="1" ht="31.5" x14ac:dyDescent="0.25">
      <c r="A267" s="19" t="s">
        <v>178</v>
      </c>
      <c r="B267" s="23">
        <f t="shared" si="518"/>
        <v>2214</v>
      </c>
      <c r="C267" s="23">
        <f t="shared" si="519"/>
        <v>2214</v>
      </c>
      <c r="D267" s="23">
        <f t="shared" si="519"/>
        <v>0</v>
      </c>
      <c r="E267" s="23"/>
      <c r="F267" s="23"/>
      <c r="G267" s="23">
        <f t="shared" si="520"/>
        <v>0</v>
      </c>
      <c r="H267" s="23"/>
      <c r="I267" s="23"/>
      <c r="J267" s="23">
        <f t="shared" si="521"/>
        <v>0</v>
      </c>
      <c r="K267" s="23">
        <v>2214</v>
      </c>
      <c r="L267" s="23">
        <v>2214</v>
      </c>
      <c r="M267" s="23">
        <f t="shared" si="522"/>
        <v>0</v>
      </c>
      <c r="N267" s="23"/>
      <c r="O267" s="23"/>
      <c r="P267" s="23">
        <f t="shared" si="523"/>
        <v>0</v>
      </c>
      <c r="Q267" s="23"/>
      <c r="R267" s="23"/>
      <c r="S267" s="23">
        <f t="shared" si="524"/>
        <v>0</v>
      </c>
      <c r="T267" s="23"/>
      <c r="U267" s="23"/>
      <c r="V267" s="23">
        <f t="shared" si="525"/>
        <v>0</v>
      </c>
      <c r="W267" s="23"/>
      <c r="X267" s="23"/>
      <c r="Y267" s="23">
        <f t="shared" si="526"/>
        <v>0</v>
      </c>
      <c r="Z267" s="23"/>
      <c r="AA267" s="23"/>
      <c r="AB267" s="23">
        <f t="shared" si="527"/>
        <v>0</v>
      </c>
    </row>
    <row r="268" spans="1:189" s="17" customFormat="1" ht="31.5" x14ac:dyDescent="0.25">
      <c r="A268" s="19" t="s">
        <v>179</v>
      </c>
      <c r="B268" s="23">
        <f t="shared" si="518"/>
        <v>1000</v>
      </c>
      <c r="C268" s="23">
        <f t="shared" si="519"/>
        <v>1000</v>
      </c>
      <c r="D268" s="23">
        <f t="shared" si="519"/>
        <v>0</v>
      </c>
      <c r="E268" s="23"/>
      <c r="F268" s="23"/>
      <c r="G268" s="23">
        <f t="shared" si="520"/>
        <v>0</v>
      </c>
      <c r="H268" s="23"/>
      <c r="I268" s="23"/>
      <c r="J268" s="23">
        <f t="shared" si="521"/>
        <v>0</v>
      </c>
      <c r="K268" s="23">
        <v>1000</v>
      </c>
      <c r="L268" s="23">
        <v>1000</v>
      </c>
      <c r="M268" s="23">
        <f t="shared" si="522"/>
        <v>0</v>
      </c>
      <c r="N268" s="23"/>
      <c r="O268" s="23"/>
      <c r="P268" s="23">
        <f t="shared" si="523"/>
        <v>0</v>
      </c>
      <c r="Q268" s="23"/>
      <c r="R268" s="23"/>
      <c r="S268" s="23">
        <f t="shared" si="524"/>
        <v>0</v>
      </c>
      <c r="T268" s="23"/>
      <c r="U268" s="23"/>
      <c r="V268" s="23">
        <f t="shared" si="525"/>
        <v>0</v>
      </c>
      <c r="W268" s="23"/>
      <c r="X268" s="23"/>
      <c r="Y268" s="23">
        <f t="shared" si="526"/>
        <v>0</v>
      </c>
      <c r="Z268" s="23"/>
      <c r="AA268" s="23"/>
      <c r="AB268" s="23">
        <f t="shared" si="527"/>
        <v>0</v>
      </c>
    </row>
    <row r="269" spans="1:189" s="17" customFormat="1" x14ac:dyDescent="0.25">
      <c r="A269" s="19" t="s">
        <v>180</v>
      </c>
      <c r="B269" s="23">
        <f t="shared" si="518"/>
        <v>3726</v>
      </c>
      <c r="C269" s="23">
        <f t="shared" si="519"/>
        <v>3726</v>
      </c>
      <c r="D269" s="23">
        <f t="shared" si="519"/>
        <v>0</v>
      </c>
      <c r="E269" s="23"/>
      <c r="F269" s="23"/>
      <c r="G269" s="23">
        <f t="shared" si="520"/>
        <v>0</v>
      </c>
      <c r="H269" s="23"/>
      <c r="I269" s="23"/>
      <c r="J269" s="23">
        <f t="shared" si="521"/>
        <v>0</v>
      </c>
      <c r="K269" s="23">
        <v>3726</v>
      </c>
      <c r="L269" s="23">
        <v>3726</v>
      </c>
      <c r="M269" s="23">
        <f t="shared" si="522"/>
        <v>0</v>
      </c>
      <c r="N269" s="23"/>
      <c r="O269" s="23"/>
      <c r="P269" s="23">
        <f t="shared" si="523"/>
        <v>0</v>
      </c>
      <c r="Q269" s="23"/>
      <c r="R269" s="23"/>
      <c r="S269" s="23">
        <f t="shared" si="524"/>
        <v>0</v>
      </c>
      <c r="T269" s="23"/>
      <c r="U269" s="23"/>
      <c r="V269" s="23">
        <f t="shared" si="525"/>
        <v>0</v>
      </c>
      <c r="W269" s="23"/>
      <c r="X269" s="23"/>
      <c r="Y269" s="23">
        <f t="shared" si="526"/>
        <v>0</v>
      </c>
      <c r="Z269" s="23"/>
      <c r="AA269" s="23"/>
      <c r="AB269" s="23">
        <f t="shared" si="527"/>
        <v>0</v>
      </c>
    </row>
    <row r="270" spans="1:189" s="17" customFormat="1" ht="31.5" x14ac:dyDescent="0.25">
      <c r="A270" s="31" t="s">
        <v>253</v>
      </c>
      <c r="B270" s="23">
        <f t="shared" si="518"/>
        <v>0</v>
      </c>
      <c r="C270" s="23">
        <f t="shared" si="519"/>
        <v>1426</v>
      </c>
      <c r="D270" s="23">
        <f t="shared" si="519"/>
        <v>1426</v>
      </c>
      <c r="E270" s="23"/>
      <c r="F270" s="23"/>
      <c r="G270" s="23">
        <f t="shared" si="520"/>
        <v>0</v>
      </c>
      <c r="H270" s="23"/>
      <c r="I270" s="23"/>
      <c r="J270" s="23">
        <f t="shared" si="521"/>
        <v>0</v>
      </c>
      <c r="K270" s="23"/>
      <c r="L270" s="23"/>
      <c r="M270" s="23">
        <f t="shared" si="522"/>
        <v>0</v>
      </c>
      <c r="N270" s="23">
        <v>0</v>
      </c>
      <c r="O270" s="23">
        <v>1426</v>
      </c>
      <c r="P270" s="23">
        <f t="shared" si="523"/>
        <v>1426</v>
      </c>
      <c r="Q270" s="23"/>
      <c r="R270" s="23"/>
      <c r="S270" s="23">
        <f t="shared" si="524"/>
        <v>0</v>
      </c>
      <c r="T270" s="23"/>
      <c r="U270" s="23"/>
      <c r="V270" s="23">
        <f t="shared" si="525"/>
        <v>0</v>
      </c>
      <c r="W270" s="23"/>
      <c r="X270" s="23"/>
      <c r="Y270" s="23">
        <f t="shared" si="526"/>
        <v>0</v>
      </c>
      <c r="Z270" s="23"/>
      <c r="AA270" s="23"/>
      <c r="AB270" s="23">
        <f t="shared" si="527"/>
        <v>0</v>
      </c>
    </row>
    <row r="271" spans="1:189" s="17" customFormat="1" ht="31.5" x14ac:dyDescent="0.25">
      <c r="A271" s="19" t="s">
        <v>181</v>
      </c>
      <c r="B271" s="23">
        <f t="shared" si="518"/>
        <v>12500</v>
      </c>
      <c r="C271" s="23">
        <f t="shared" si="519"/>
        <v>10050</v>
      </c>
      <c r="D271" s="23">
        <f t="shared" si="519"/>
        <v>-2450</v>
      </c>
      <c r="E271" s="23"/>
      <c r="F271" s="23"/>
      <c r="G271" s="23">
        <f t="shared" si="520"/>
        <v>0</v>
      </c>
      <c r="H271" s="23"/>
      <c r="I271" s="23"/>
      <c r="J271" s="23">
        <f t="shared" si="521"/>
        <v>0</v>
      </c>
      <c r="K271" s="23">
        <v>12500</v>
      </c>
      <c r="L271" s="23">
        <f>12500-2450</f>
        <v>10050</v>
      </c>
      <c r="M271" s="23">
        <f t="shared" si="522"/>
        <v>-2450</v>
      </c>
      <c r="N271" s="23"/>
      <c r="O271" s="23"/>
      <c r="P271" s="23">
        <f t="shared" si="523"/>
        <v>0</v>
      </c>
      <c r="Q271" s="23"/>
      <c r="R271" s="23"/>
      <c r="S271" s="23">
        <f t="shared" si="524"/>
        <v>0</v>
      </c>
      <c r="T271" s="23"/>
      <c r="U271" s="23"/>
      <c r="V271" s="23">
        <f t="shared" si="525"/>
        <v>0</v>
      </c>
      <c r="W271" s="23"/>
      <c r="X271" s="23"/>
      <c r="Y271" s="23">
        <f t="shared" si="526"/>
        <v>0</v>
      </c>
      <c r="Z271" s="23"/>
      <c r="AA271" s="23"/>
      <c r="AB271" s="23">
        <f t="shared" si="527"/>
        <v>0</v>
      </c>
    </row>
    <row r="272" spans="1:189" s="17" customFormat="1" ht="31.5" x14ac:dyDescent="0.25">
      <c r="A272" s="15" t="s">
        <v>111</v>
      </c>
      <c r="B272" s="16">
        <f t="shared" si="518"/>
        <v>133033</v>
      </c>
      <c r="C272" s="16">
        <f t="shared" ref="C272:D289" si="548">F272+I272+L272+O272+R272+U272+AA272</f>
        <v>150449</v>
      </c>
      <c r="D272" s="16">
        <f t="shared" si="548"/>
        <v>17416</v>
      </c>
      <c r="E272" s="16">
        <f t="shared" ref="E272:Z272" si="549">SUM(E273:E282)</f>
        <v>0</v>
      </c>
      <c r="F272" s="16">
        <f t="shared" ref="F272" si="550">SUM(F273:F282)</f>
        <v>0</v>
      </c>
      <c r="G272" s="16">
        <f t="shared" si="520"/>
        <v>0</v>
      </c>
      <c r="H272" s="16">
        <f t="shared" si="549"/>
        <v>0</v>
      </c>
      <c r="I272" s="16">
        <f t="shared" ref="I272" si="551">SUM(I273:I282)</f>
        <v>0</v>
      </c>
      <c r="J272" s="16">
        <f t="shared" si="521"/>
        <v>0</v>
      </c>
      <c r="K272" s="16">
        <f t="shared" si="549"/>
        <v>133033</v>
      </c>
      <c r="L272" s="16">
        <f t="shared" ref="L272" si="552">SUM(L273:L282)</f>
        <v>150449</v>
      </c>
      <c r="M272" s="16">
        <f t="shared" si="522"/>
        <v>17416</v>
      </c>
      <c r="N272" s="16">
        <f t="shared" si="549"/>
        <v>0</v>
      </c>
      <c r="O272" s="16">
        <f t="shared" ref="O272" si="553">SUM(O273:O282)</f>
        <v>0</v>
      </c>
      <c r="P272" s="16">
        <f t="shared" si="523"/>
        <v>0</v>
      </c>
      <c r="Q272" s="16">
        <f t="shared" si="549"/>
        <v>0</v>
      </c>
      <c r="R272" s="16">
        <f t="shared" ref="R272" si="554">SUM(R273:R282)</f>
        <v>0</v>
      </c>
      <c r="S272" s="16">
        <f t="shared" si="524"/>
        <v>0</v>
      </c>
      <c r="T272" s="16">
        <f t="shared" si="549"/>
        <v>0</v>
      </c>
      <c r="U272" s="16">
        <f t="shared" ref="U272" si="555">SUM(U273:U282)</f>
        <v>0</v>
      </c>
      <c r="V272" s="16">
        <f t="shared" si="525"/>
        <v>0</v>
      </c>
      <c r="W272" s="16">
        <f t="shared" ref="W272" si="556">SUM(W273:W282)</f>
        <v>0</v>
      </c>
      <c r="X272" s="16">
        <f t="shared" ref="X272" si="557">SUM(X273:X282)</f>
        <v>0</v>
      </c>
      <c r="Y272" s="16">
        <f t="shared" si="526"/>
        <v>0</v>
      </c>
      <c r="Z272" s="16">
        <f t="shared" si="549"/>
        <v>0</v>
      </c>
      <c r="AA272" s="16">
        <f t="shared" ref="AA272" si="558">SUM(AA273:AA282)</f>
        <v>0</v>
      </c>
      <c r="AB272" s="16">
        <f t="shared" si="527"/>
        <v>0</v>
      </c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14"/>
      <c r="DQ272" s="14"/>
      <c r="DR272" s="14"/>
      <c r="DS272" s="14"/>
      <c r="DT272" s="14"/>
      <c r="DU272" s="14"/>
      <c r="DV272" s="14"/>
      <c r="DW272" s="14"/>
      <c r="DX272" s="14"/>
      <c r="DY272" s="14"/>
      <c r="DZ272" s="14"/>
      <c r="EA272" s="14"/>
      <c r="EB272" s="14"/>
      <c r="EC272" s="14"/>
      <c r="ED272" s="14"/>
      <c r="EE272" s="14"/>
      <c r="EF272" s="14"/>
      <c r="EG272" s="14"/>
      <c r="EH272" s="14"/>
      <c r="EI272" s="14"/>
      <c r="EJ272" s="14"/>
      <c r="EK272" s="14"/>
      <c r="EL272" s="14"/>
      <c r="EM272" s="14"/>
      <c r="EN272" s="14"/>
      <c r="EO272" s="14"/>
      <c r="EP272" s="14"/>
      <c r="EQ272" s="14"/>
      <c r="ER272" s="14"/>
      <c r="ES272" s="14"/>
      <c r="ET272" s="14"/>
      <c r="EU272" s="14"/>
      <c r="EV272" s="14"/>
      <c r="EW272" s="14"/>
      <c r="EX272" s="14"/>
      <c r="EY272" s="14"/>
      <c r="EZ272" s="14"/>
      <c r="FA272" s="14"/>
      <c r="FB272" s="14"/>
      <c r="FC272" s="14"/>
      <c r="FD272" s="14"/>
      <c r="FE272" s="14"/>
      <c r="FF272" s="14"/>
      <c r="FG272" s="14"/>
      <c r="FH272" s="14"/>
      <c r="FI272" s="14"/>
      <c r="FJ272" s="14"/>
      <c r="FK272" s="14"/>
      <c r="FL272" s="14"/>
      <c r="FM272" s="14"/>
      <c r="FN272" s="14"/>
      <c r="FO272" s="14"/>
      <c r="FP272" s="14"/>
      <c r="FQ272" s="14"/>
      <c r="FR272" s="14"/>
      <c r="FS272" s="14"/>
      <c r="FT272" s="14"/>
      <c r="FU272" s="14"/>
      <c r="FV272" s="14"/>
      <c r="FW272" s="14"/>
      <c r="FX272" s="14"/>
      <c r="FY272" s="14"/>
      <c r="FZ272" s="14"/>
      <c r="GA272" s="14"/>
      <c r="GB272" s="14"/>
      <c r="GC272" s="14"/>
      <c r="GD272" s="14"/>
      <c r="GE272" s="14"/>
      <c r="GF272" s="14"/>
      <c r="GG272" s="14"/>
    </row>
    <row r="273" spans="1:189" s="17" customFormat="1" ht="31.5" x14ac:dyDescent="0.25">
      <c r="A273" s="22" t="s">
        <v>182</v>
      </c>
      <c r="B273" s="23">
        <f t="shared" si="518"/>
        <v>85111</v>
      </c>
      <c r="C273" s="23">
        <f t="shared" si="548"/>
        <v>85111</v>
      </c>
      <c r="D273" s="23">
        <f t="shared" si="548"/>
        <v>0</v>
      </c>
      <c r="E273" s="23"/>
      <c r="F273" s="23"/>
      <c r="G273" s="23">
        <f t="shared" si="520"/>
        <v>0</v>
      </c>
      <c r="H273" s="23"/>
      <c r="I273" s="23"/>
      <c r="J273" s="23">
        <f t="shared" si="521"/>
        <v>0</v>
      </c>
      <c r="K273" s="23">
        <v>85111</v>
      </c>
      <c r="L273" s="23">
        <v>85111</v>
      </c>
      <c r="M273" s="23">
        <f t="shared" si="522"/>
        <v>0</v>
      </c>
      <c r="N273" s="23"/>
      <c r="O273" s="23"/>
      <c r="P273" s="23">
        <f t="shared" si="523"/>
        <v>0</v>
      </c>
      <c r="Q273" s="23"/>
      <c r="R273" s="23"/>
      <c r="S273" s="23">
        <f t="shared" si="524"/>
        <v>0</v>
      </c>
      <c r="T273" s="23"/>
      <c r="U273" s="23"/>
      <c r="V273" s="23">
        <f t="shared" si="525"/>
        <v>0</v>
      </c>
      <c r="W273" s="23"/>
      <c r="X273" s="23"/>
      <c r="Y273" s="23">
        <f t="shared" si="526"/>
        <v>0</v>
      </c>
      <c r="Z273" s="23"/>
      <c r="AA273" s="23"/>
      <c r="AB273" s="23">
        <f t="shared" si="527"/>
        <v>0</v>
      </c>
    </row>
    <row r="274" spans="1:189" s="17" customFormat="1" x14ac:dyDescent="0.25">
      <c r="A274" s="22" t="s">
        <v>254</v>
      </c>
      <c r="B274" s="23">
        <f t="shared" ref="B274:B275" si="559">E274+H274+K274+N274+Q274+T274+Z274</f>
        <v>0</v>
      </c>
      <c r="C274" s="23">
        <f t="shared" ref="C274:C275" si="560">F274+I274+L274+O274+R274+U274+AA274</f>
        <v>11100</v>
      </c>
      <c r="D274" s="23">
        <f t="shared" ref="D274:D275" si="561">G274+J274+M274+P274+S274+V274+AB274</f>
        <v>11100</v>
      </c>
      <c r="E274" s="23"/>
      <c r="F274" s="23"/>
      <c r="G274" s="23">
        <f t="shared" ref="G274:G275" si="562">F274-E274</f>
        <v>0</v>
      </c>
      <c r="H274" s="23"/>
      <c r="I274" s="23"/>
      <c r="J274" s="23">
        <f t="shared" ref="J274:J275" si="563">I274-H274</f>
        <v>0</v>
      </c>
      <c r="K274" s="23">
        <v>0</v>
      </c>
      <c r="L274" s="23">
        <v>11100</v>
      </c>
      <c r="M274" s="23">
        <f t="shared" ref="M274:M275" si="564">L274-K274</f>
        <v>11100</v>
      </c>
      <c r="N274" s="23"/>
      <c r="O274" s="23"/>
      <c r="P274" s="23">
        <f t="shared" ref="P274:P275" si="565">O274-N274</f>
        <v>0</v>
      </c>
      <c r="Q274" s="23"/>
      <c r="R274" s="23"/>
      <c r="S274" s="23">
        <f t="shared" ref="S274:S275" si="566">R274-Q274</f>
        <v>0</v>
      </c>
      <c r="T274" s="23"/>
      <c r="U274" s="23"/>
      <c r="V274" s="23">
        <f t="shared" ref="V274:V275" si="567">U274-T274</f>
        <v>0</v>
      </c>
      <c r="W274" s="23"/>
      <c r="X274" s="23"/>
      <c r="Y274" s="23">
        <f t="shared" ref="Y274:Y275" si="568">X274-W274</f>
        <v>0</v>
      </c>
      <c r="Z274" s="23"/>
      <c r="AA274" s="23"/>
      <c r="AB274" s="23">
        <f t="shared" ref="AB274:AB275" si="569">AA274-Z274</f>
        <v>0</v>
      </c>
    </row>
    <row r="275" spans="1:189" s="17" customFormat="1" x14ac:dyDescent="0.25">
      <c r="A275" s="19" t="s">
        <v>271</v>
      </c>
      <c r="B275" s="23">
        <f t="shared" si="559"/>
        <v>0</v>
      </c>
      <c r="C275" s="23">
        <f t="shared" si="560"/>
        <v>3866</v>
      </c>
      <c r="D275" s="23">
        <f t="shared" si="561"/>
        <v>3866</v>
      </c>
      <c r="E275" s="23"/>
      <c r="F275" s="23"/>
      <c r="G275" s="23">
        <f t="shared" si="562"/>
        <v>0</v>
      </c>
      <c r="H275" s="23"/>
      <c r="I275" s="23"/>
      <c r="J275" s="23">
        <f t="shared" si="563"/>
        <v>0</v>
      </c>
      <c r="K275" s="23"/>
      <c r="L275" s="23">
        <v>3866</v>
      </c>
      <c r="M275" s="23">
        <f t="shared" si="564"/>
        <v>3866</v>
      </c>
      <c r="N275" s="23"/>
      <c r="O275" s="23"/>
      <c r="P275" s="23">
        <f t="shared" si="565"/>
        <v>0</v>
      </c>
      <c r="Q275" s="23"/>
      <c r="R275" s="23"/>
      <c r="S275" s="23">
        <f t="shared" si="566"/>
        <v>0</v>
      </c>
      <c r="T275" s="23"/>
      <c r="U275" s="23"/>
      <c r="V275" s="23">
        <f t="shared" si="567"/>
        <v>0</v>
      </c>
      <c r="W275" s="23"/>
      <c r="X275" s="23"/>
      <c r="Y275" s="23">
        <f t="shared" si="568"/>
        <v>0</v>
      </c>
      <c r="Z275" s="23"/>
      <c r="AA275" s="23"/>
      <c r="AB275" s="23">
        <f t="shared" si="569"/>
        <v>0</v>
      </c>
    </row>
    <row r="276" spans="1:189" s="17" customFormat="1" x14ac:dyDescent="0.25">
      <c r="A276" s="19" t="s">
        <v>183</v>
      </c>
      <c r="B276" s="23">
        <f t="shared" si="518"/>
        <v>2000</v>
      </c>
      <c r="C276" s="23">
        <f t="shared" si="548"/>
        <v>4450</v>
      </c>
      <c r="D276" s="23">
        <f t="shared" si="548"/>
        <v>2450</v>
      </c>
      <c r="E276" s="23"/>
      <c r="F276" s="23"/>
      <c r="G276" s="23">
        <f t="shared" si="520"/>
        <v>0</v>
      </c>
      <c r="H276" s="23"/>
      <c r="I276" s="23"/>
      <c r="J276" s="23">
        <f t="shared" si="521"/>
        <v>0</v>
      </c>
      <c r="K276" s="23">
        <v>2000</v>
      </c>
      <c r="L276" s="23">
        <f>2000+2450</f>
        <v>4450</v>
      </c>
      <c r="M276" s="23">
        <f t="shared" si="522"/>
        <v>2450</v>
      </c>
      <c r="N276" s="23"/>
      <c r="O276" s="23"/>
      <c r="P276" s="23">
        <f t="shared" si="523"/>
        <v>0</v>
      </c>
      <c r="Q276" s="23"/>
      <c r="R276" s="23"/>
      <c r="S276" s="23">
        <f t="shared" si="524"/>
        <v>0</v>
      </c>
      <c r="T276" s="23"/>
      <c r="U276" s="23"/>
      <c r="V276" s="23">
        <f t="shared" si="525"/>
        <v>0</v>
      </c>
      <c r="W276" s="23"/>
      <c r="X276" s="23"/>
      <c r="Y276" s="23">
        <f t="shared" si="526"/>
        <v>0</v>
      </c>
      <c r="Z276" s="23"/>
      <c r="AA276" s="23"/>
      <c r="AB276" s="23">
        <f t="shared" si="527"/>
        <v>0</v>
      </c>
    </row>
    <row r="277" spans="1:189" s="17" customFormat="1" ht="31.5" x14ac:dyDescent="0.25">
      <c r="A277" s="19" t="s">
        <v>184</v>
      </c>
      <c r="B277" s="23">
        <f t="shared" si="518"/>
        <v>3800</v>
      </c>
      <c r="C277" s="23">
        <f t="shared" si="548"/>
        <v>3800</v>
      </c>
      <c r="D277" s="23">
        <f t="shared" si="548"/>
        <v>0</v>
      </c>
      <c r="E277" s="23"/>
      <c r="F277" s="23"/>
      <c r="G277" s="23">
        <f t="shared" si="520"/>
        <v>0</v>
      </c>
      <c r="H277" s="23"/>
      <c r="I277" s="23"/>
      <c r="J277" s="23">
        <f t="shared" si="521"/>
        <v>0</v>
      </c>
      <c r="K277" s="23">
        <v>3800</v>
      </c>
      <c r="L277" s="23">
        <v>3800</v>
      </c>
      <c r="M277" s="23">
        <f t="shared" si="522"/>
        <v>0</v>
      </c>
      <c r="N277" s="23"/>
      <c r="O277" s="23"/>
      <c r="P277" s="23">
        <f t="shared" si="523"/>
        <v>0</v>
      </c>
      <c r="Q277" s="23"/>
      <c r="R277" s="23"/>
      <c r="S277" s="23">
        <f t="shared" si="524"/>
        <v>0</v>
      </c>
      <c r="T277" s="23"/>
      <c r="U277" s="23"/>
      <c r="V277" s="23">
        <f t="shared" si="525"/>
        <v>0</v>
      </c>
      <c r="W277" s="23"/>
      <c r="X277" s="23"/>
      <c r="Y277" s="23">
        <f t="shared" si="526"/>
        <v>0</v>
      </c>
      <c r="Z277" s="23"/>
      <c r="AA277" s="23"/>
      <c r="AB277" s="23">
        <f t="shared" si="527"/>
        <v>0</v>
      </c>
    </row>
    <row r="278" spans="1:189" s="17" customFormat="1" ht="31.5" x14ac:dyDescent="0.25">
      <c r="A278" s="22" t="s">
        <v>185</v>
      </c>
      <c r="B278" s="23">
        <f t="shared" si="518"/>
        <v>3290</v>
      </c>
      <c r="C278" s="23">
        <f t="shared" si="548"/>
        <v>3290</v>
      </c>
      <c r="D278" s="23">
        <f t="shared" si="548"/>
        <v>0</v>
      </c>
      <c r="E278" s="23"/>
      <c r="F278" s="23"/>
      <c r="G278" s="23">
        <f t="shared" si="520"/>
        <v>0</v>
      </c>
      <c r="H278" s="23"/>
      <c r="I278" s="23"/>
      <c r="J278" s="23">
        <f t="shared" si="521"/>
        <v>0</v>
      </c>
      <c r="K278" s="23">
        <v>3290</v>
      </c>
      <c r="L278" s="23">
        <v>3290</v>
      </c>
      <c r="M278" s="23">
        <f t="shared" si="522"/>
        <v>0</v>
      </c>
      <c r="N278" s="23"/>
      <c r="O278" s="23"/>
      <c r="P278" s="23">
        <f t="shared" si="523"/>
        <v>0</v>
      </c>
      <c r="Q278" s="23"/>
      <c r="R278" s="23"/>
      <c r="S278" s="23">
        <f t="shared" si="524"/>
        <v>0</v>
      </c>
      <c r="T278" s="23"/>
      <c r="U278" s="23"/>
      <c r="V278" s="23">
        <f t="shared" si="525"/>
        <v>0</v>
      </c>
      <c r="W278" s="23"/>
      <c r="X278" s="23"/>
      <c r="Y278" s="23">
        <f t="shared" si="526"/>
        <v>0</v>
      </c>
      <c r="Z278" s="23"/>
      <c r="AA278" s="23"/>
      <c r="AB278" s="23">
        <f t="shared" si="527"/>
        <v>0</v>
      </c>
    </row>
    <row r="279" spans="1:189" s="17" customFormat="1" x14ac:dyDescent="0.25">
      <c r="A279" s="22" t="s">
        <v>186</v>
      </c>
      <c r="B279" s="23">
        <f t="shared" si="518"/>
        <v>4000</v>
      </c>
      <c r="C279" s="23">
        <f t="shared" si="548"/>
        <v>4000</v>
      </c>
      <c r="D279" s="23">
        <f t="shared" si="548"/>
        <v>0</v>
      </c>
      <c r="E279" s="23"/>
      <c r="F279" s="23"/>
      <c r="G279" s="23">
        <f t="shared" si="520"/>
        <v>0</v>
      </c>
      <c r="H279" s="23"/>
      <c r="I279" s="23"/>
      <c r="J279" s="23">
        <f t="shared" si="521"/>
        <v>0</v>
      </c>
      <c r="K279" s="23">
        <v>4000</v>
      </c>
      <c r="L279" s="23">
        <v>4000</v>
      </c>
      <c r="M279" s="23">
        <f t="shared" si="522"/>
        <v>0</v>
      </c>
      <c r="N279" s="23"/>
      <c r="O279" s="23"/>
      <c r="P279" s="23">
        <f t="shared" si="523"/>
        <v>0</v>
      </c>
      <c r="Q279" s="23"/>
      <c r="R279" s="23"/>
      <c r="S279" s="23">
        <f t="shared" si="524"/>
        <v>0</v>
      </c>
      <c r="T279" s="23"/>
      <c r="U279" s="23"/>
      <c r="V279" s="23">
        <f t="shared" si="525"/>
        <v>0</v>
      </c>
      <c r="W279" s="23"/>
      <c r="X279" s="23"/>
      <c r="Y279" s="23">
        <f t="shared" si="526"/>
        <v>0</v>
      </c>
      <c r="Z279" s="23"/>
      <c r="AA279" s="23"/>
      <c r="AB279" s="23">
        <f t="shared" si="527"/>
        <v>0</v>
      </c>
    </row>
    <row r="280" spans="1:189" s="17" customFormat="1" x14ac:dyDescent="0.25">
      <c r="A280" s="19" t="s">
        <v>187</v>
      </c>
      <c r="B280" s="23">
        <f t="shared" si="518"/>
        <v>2800</v>
      </c>
      <c r="C280" s="23">
        <f t="shared" si="548"/>
        <v>2800</v>
      </c>
      <c r="D280" s="23">
        <f t="shared" si="548"/>
        <v>0</v>
      </c>
      <c r="E280" s="23"/>
      <c r="F280" s="23"/>
      <c r="G280" s="23">
        <f t="shared" si="520"/>
        <v>0</v>
      </c>
      <c r="H280" s="23"/>
      <c r="I280" s="23"/>
      <c r="J280" s="23">
        <f t="shared" si="521"/>
        <v>0</v>
      </c>
      <c r="K280" s="23">
        <v>2800</v>
      </c>
      <c r="L280" s="23">
        <v>2800</v>
      </c>
      <c r="M280" s="23">
        <f t="shared" si="522"/>
        <v>0</v>
      </c>
      <c r="N280" s="23"/>
      <c r="O280" s="23"/>
      <c r="P280" s="23">
        <f t="shared" si="523"/>
        <v>0</v>
      </c>
      <c r="Q280" s="23"/>
      <c r="R280" s="23"/>
      <c r="S280" s="23">
        <f t="shared" si="524"/>
        <v>0</v>
      </c>
      <c r="T280" s="23"/>
      <c r="U280" s="23"/>
      <c r="V280" s="23">
        <f t="shared" si="525"/>
        <v>0</v>
      </c>
      <c r="W280" s="23"/>
      <c r="X280" s="23"/>
      <c r="Y280" s="23">
        <f t="shared" si="526"/>
        <v>0</v>
      </c>
      <c r="Z280" s="23"/>
      <c r="AA280" s="23"/>
      <c r="AB280" s="23">
        <f t="shared" si="527"/>
        <v>0</v>
      </c>
    </row>
    <row r="281" spans="1:189" s="17" customFormat="1" ht="31.5" x14ac:dyDescent="0.25">
      <c r="A281" s="19" t="s">
        <v>188</v>
      </c>
      <c r="B281" s="23">
        <f t="shared" si="518"/>
        <v>27932</v>
      </c>
      <c r="C281" s="23">
        <f t="shared" si="548"/>
        <v>27932</v>
      </c>
      <c r="D281" s="23">
        <f t="shared" si="548"/>
        <v>0</v>
      </c>
      <c r="E281" s="23"/>
      <c r="F281" s="23"/>
      <c r="G281" s="23">
        <f t="shared" si="520"/>
        <v>0</v>
      </c>
      <c r="H281" s="23"/>
      <c r="I281" s="23"/>
      <c r="J281" s="23">
        <f t="shared" si="521"/>
        <v>0</v>
      </c>
      <c r="K281" s="23">
        <v>27932</v>
      </c>
      <c r="L281" s="23">
        <v>27932</v>
      </c>
      <c r="M281" s="23">
        <f t="shared" si="522"/>
        <v>0</v>
      </c>
      <c r="N281" s="23"/>
      <c r="O281" s="23"/>
      <c r="P281" s="23">
        <f t="shared" si="523"/>
        <v>0</v>
      </c>
      <c r="Q281" s="23"/>
      <c r="R281" s="23"/>
      <c r="S281" s="23">
        <f t="shared" si="524"/>
        <v>0</v>
      </c>
      <c r="T281" s="23"/>
      <c r="U281" s="23"/>
      <c r="V281" s="23">
        <f t="shared" si="525"/>
        <v>0</v>
      </c>
      <c r="W281" s="23"/>
      <c r="X281" s="23"/>
      <c r="Y281" s="23">
        <f t="shared" si="526"/>
        <v>0</v>
      </c>
      <c r="Z281" s="23"/>
      <c r="AA281" s="23"/>
      <c r="AB281" s="23">
        <f t="shared" si="527"/>
        <v>0</v>
      </c>
    </row>
    <row r="282" spans="1:189" s="17" customFormat="1" ht="31.5" x14ac:dyDescent="0.25">
      <c r="A282" s="19" t="s">
        <v>189</v>
      </c>
      <c r="B282" s="23">
        <f t="shared" si="518"/>
        <v>4100</v>
      </c>
      <c r="C282" s="23">
        <f t="shared" si="548"/>
        <v>4100</v>
      </c>
      <c r="D282" s="23">
        <f t="shared" si="548"/>
        <v>0</v>
      </c>
      <c r="E282" s="23"/>
      <c r="F282" s="23"/>
      <c r="G282" s="23">
        <f t="shared" si="520"/>
        <v>0</v>
      </c>
      <c r="H282" s="23"/>
      <c r="I282" s="23"/>
      <c r="J282" s="23">
        <f t="shared" si="521"/>
        <v>0</v>
      </c>
      <c r="K282" s="32">
        <v>4100</v>
      </c>
      <c r="L282" s="32">
        <v>4100</v>
      </c>
      <c r="M282" s="23">
        <f t="shared" si="522"/>
        <v>0</v>
      </c>
      <c r="N282" s="23"/>
      <c r="O282" s="23"/>
      <c r="P282" s="23">
        <f t="shared" si="523"/>
        <v>0</v>
      </c>
      <c r="Q282" s="23"/>
      <c r="R282" s="23"/>
      <c r="S282" s="23">
        <f t="shared" si="524"/>
        <v>0</v>
      </c>
      <c r="T282" s="23"/>
      <c r="U282" s="23"/>
      <c r="V282" s="23">
        <f t="shared" si="525"/>
        <v>0</v>
      </c>
      <c r="W282" s="23"/>
      <c r="X282" s="23"/>
      <c r="Y282" s="23">
        <f t="shared" si="526"/>
        <v>0</v>
      </c>
      <c r="Z282" s="23"/>
      <c r="AA282" s="23"/>
      <c r="AB282" s="23">
        <f t="shared" si="527"/>
        <v>0</v>
      </c>
    </row>
    <row r="283" spans="1:189" s="17" customFormat="1" x14ac:dyDescent="0.25">
      <c r="A283" s="15" t="s">
        <v>114</v>
      </c>
      <c r="B283" s="16">
        <f t="shared" si="518"/>
        <v>81200</v>
      </c>
      <c r="C283" s="16">
        <f t="shared" si="548"/>
        <v>81200</v>
      </c>
      <c r="D283" s="16">
        <f t="shared" si="548"/>
        <v>0</v>
      </c>
      <c r="E283" s="16">
        <f>SUM(E284:E285)</f>
        <v>0</v>
      </c>
      <c r="F283" s="16">
        <f>SUM(F284:F285)</f>
        <v>0</v>
      </c>
      <c r="G283" s="16">
        <f t="shared" si="520"/>
        <v>0</v>
      </c>
      <c r="H283" s="16">
        <f t="shared" ref="H283:Z283" si="570">SUM(H284:H285)</f>
        <v>0</v>
      </c>
      <c r="I283" s="16">
        <f t="shared" ref="I283" si="571">SUM(I284:I285)</f>
        <v>0</v>
      </c>
      <c r="J283" s="16">
        <f t="shared" si="521"/>
        <v>0</v>
      </c>
      <c r="K283" s="16">
        <f t="shared" si="570"/>
        <v>25200</v>
      </c>
      <c r="L283" s="16">
        <f t="shared" ref="L283" si="572">SUM(L284:L285)</f>
        <v>25200</v>
      </c>
      <c r="M283" s="16">
        <f t="shared" si="522"/>
        <v>0</v>
      </c>
      <c r="N283" s="16">
        <f t="shared" si="570"/>
        <v>0</v>
      </c>
      <c r="O283" s="16">
        <f t="shared" ref="O283" si="573">SUM(O284:O285)</f>
        <v>0</v>
      </c>
      <c r="P283" s="16">
        <f t="shared" si="523"/>
        <v>0</v>
      </c>
      <c r="Q283" s="16">
        <f t="shared" si="570"/>
        <v>56000</v>
      </c>
      <c r="R283" s="16">
        <f t="shared" ref="R283" si="574">SUM(R284:R285)</f>
        <v>56000</v>
      </c>
      <c r="S283" s="16">
        <f t="shared" si="524"/>
        <v>0</v>
      </c>
      <c r="T283" s="16">
        <f t="shared" si="570"/>
        <v>0</v>
      </c>
      <c r="U283" s="16">
        <f t="shared" ref="U283" si="575">SUM(U284:U285)</f>
        <v>0</v>
      </c>
      <c r="V283" s="16">
        <f t="shared" si="525"/>
        <v>0</v>
      </c>
      <c r="W283" s="16">
        <f t="shared" ref="W283" si="576">SUM(W284:W285)</f>
        <v>0</v>
      </c>
      <c r="X283" s="16">
        <f t="shared" ref="X283" si="577">SUM(X284:X285)</f>
        <v>0</v>
      </c>
      <c r="Y283" s="16">
        <f t="shared" si="526"/>
        <v>0</v>
      </c>
      <c r="Z283" s="16">
        <f t="shared" si="570"/>
        <v>0</v>
      </c>
      <c r="AA283" s="16">
        <f t="shared" ref="AA283" si="578">SUM(AA284:AA285)</f>
        <v>0</v>
      </c>
      <c r="AB283" s="16">
        <f t="shared" si="527"/>
        <v>0</v>
      </c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  <c r="DT283" s="14"/>
      <c r="DU283" s="14"/>
      <c r="DV283" s="14"/>
      <c r="DW283" s="14"/>
      <c r="DX283" s="14"/>
      <c r="DY283" s="14"/>
      <c r="DZ283" s="14"/>
      <c r="EA283" s="14"/>
      <c r="EB283" s="14"/>
      <c r="EC283" s="14"/>
      <c r="ED283" s="14"/>
      <c r="EE283" s="14"/>
      <c r="EF283" s="14"/>
      <c r="EG283" s="14"/>
      <c r="EH283" s="14"/>
      <c r="EI283" s="14"/>
      <c r="EJ283" s="14"/>
      <c r="EK283" s="14"/>
      <c r="EL283" s="14"/>
      <c r="EM283" s="14"/>
      <c r="EN283" s="14"/>
      <c r="EO283" s="14"/>
      <c r="EP283" s="14"/>
      <c r="EQ283" s="14"/>
      <c r="ER283" s="14"/>
      <c r="ES283" s="14"/>
      <c r="ET283" s="14"/>
      <c r="EU283" s="14"/>
      <c r="EV283" s="14"/>
      <c r="EW283" s="14"/>
      <c r="EX283" s="14"/>
      <c r="EY283" s="14"/>
      <c r="EZ283" s="14"/>
      <c r="FA283" s="14"/>
      <c r="FB283" s="14"/>
      <c r="FC283" s="14"/>
      <c r="FD283" s="14"/>
      <c r="FE283" s="14"/>
      <c r="FF283" s="14"/>
      <c r="FG283" s="14"/>
      <c r="FH283" s="14"/>
      <c r="FI283" s="14"/>
      <c r="FJ283" s="14"/>
      <c r="FK283" s="14"/>
      <c r="FL283" s="14"/>
      <c r="FM283" s="14"/>
      <c r="FN283" s="14"/>
      <c r="FO283" s="14"/>
      <c r="FP283" s="14"/>
      <c r="FQ283" s="14"/>
      <c r="FR283" s="14"/>
      <c r="FS283" s="14"/>
      <c r="FT283" s="14"/>
      <c r="FU283" s="14"/>
      <c r="FV283" s="14"/>
      <c r="FW283" s="14"/>
      <c r="FX283" s="14"/>
      <c r="FY283" s="14"/>
      <c r="FZ283" s="14"/>
      <c r="GA283" s="14"/>
      <c r="GB283" s="14"/>
      <c r="GC283" s="14"/>
      <c r="GD283" s="14"/>
      <c r="GE283" s="14"/>
      <c r="GF283" s="14"/>
      <c r="GG283" s="14"/>
    </row>
    <row r="284" spans="1:189" s="17" customFormat="1" ht="31.5" x14ac:dyDescent="0.25">
      <c r="A284" s="22" t="s">
        <v>190</v>
      </c>
      <c r="B284" s="23">
        <f t="shared" si="518"/>
        <v>56000</v>
      </c>
      <c r="C284" s="23">
        <f t="shared" si="548"/>
        <v>56000</v>
      </c>
      <c r="D284" s="23">
        <f t="shared" si="548"/>
        <v>0</v>
      </c>
      <c r="E284" s="23"/>
      <c r="F284" s="23"/>
      <c r="G284" s="23">
        <f t="shared" si="520"/>
        <v>0</v>
      </c>
      <c r="H284" s="23"/>
      <c r="I284" s="23"/>
      <c r="J284" s="23">
        <f t="shared" si="521"/>
        <v>0</v>
      </c>
      <c r="K284" s="23"/>
      <c r="L284" s="23"/>
      <c r="M284" s="23">
        <f t="shared" si="522"/>
        <v>0</v>
      </c>
      <c r="N284" s="23"/>
      <c r="O284" s="23"/>
      <c r="P284" s="23">
        <f t="shared" si="523"/>
        <v>0</v>
      </c>
      <c r="Q284" s="23">
        <f>55000+1000</f>
        <v>56000</v>
      </c>
      <c r="R284" s="23">
        <f>55000+1000</f>
        <v>56000</v>
      </c>
      <c r="S284" s="23">
        <f t="shared" si="524"/>
        <v>0</v>
      </c>
      <c r="T284" s="23"/>
      <c r="U284" s="23"/>
      <c r="V284" s="23">
        <f t="shared" si="525"/>
        <v>0</v>
      </c>
      <c r="W284" s="23"/>
      <c r="X284" s="23"/>
      <c r="Y284" s="23">
        <f t="shared" si="526"/>
        <v>0</v>
      </c>
      <c r="Z284" s="23"/>
      <c r="AA284" s="23"/>
      <c r="AB284" s="23">
        <f t="shared" si="527"/>
        <v>0</v>
      </c>
    </row>
    <row r="285" spans="1:189" s="17" customFormat="1" ht="31.5" x14ac:dyDescent="0.25">
      <c r="A285" s="22" t="s">
        <v>191</v>
      </c>
      <c r="B285" s="23">
        <f t="shared" si="518"/>
        <v>25200</v>
      </c>
      <c r="C285" s="23">
        <f t="shared" si="548"/>
        <v>25200</v>
      </c>
      <c r="D285" s="23">
        <f t="shared" si="548"/>
        <v>0</v>
      </c>
      <c r="E285" s="23"/>
      <c r="F285" s="23"/>
      <c r="G285" s="23">
        <f t="shared" si="520"/>
        <v>0</v>
      </c>
      <c r="H285" s="23"/>
      <c r="I285" s="23"/>
      <c r="J285" s="23">
        <f t="shared" si="521"/>
        <v>0</v>
      </c>
      <c r="K285" s="23">
        <v>25200</v>
      </c>
      <c r="L285" s="23">
        <v>25200</v>
      </c>
      <c r="M285" s="23">
        <f t="shared" si="522"/>
        <v>0</v>
      </c>
      <c r="N285" s="23"/>
      <c r="O285" s="23"/>
      <c r="P285" s="23">
        <f t="shared" si="523"/>
        <v>0</v>
      </c>
      <c r="Q285" s="23"/>
      <c r="R285" s="23"/>
      <c r="S285" s="23">
        <f t="shared" si="524"/>
        <v>0</v>
      </c>
      <c r="T285" s="23"/>
      <c r="U285" s="23"/>
      <c r="V285" s="23">
        <f t="shared" si="525"/>
        <v>0</v>
      </c>
      <c r="W285" s="23"/>
      <c r="X285" s="23"/>
      <c r="Y285" s="23">
        <f t="shared" si="526"/>
        <v>0</v>
      </c>
      <c r="Z285" s="23"/>
      <c r="AA285" s="23"/>
      <c r="AB285" s="23">
        <f t="shared" si="527"/>
        <v>0</v>
      </c>
    </row>
    <row r="286" spans="1:189" s="17" customFormat="1" x14ac:dyDescent="0.25">
      <c r="A286" s="15" t="s">
        <v>127</v>
      </c>
      <c r="B286" s="16">
        <f t="shared" si="518"/>
        <v>175764</v>
      </c>
      <c r="C286" s="16">
        <f t="shared" si="548"/>
        <v>175764</v>
      </c>
      <c r="D286" s="16">
        <f t="shared" si="548"/>
        <v>0</v>
      </c>
      <c r="E286" s="16">
        <f>SUM(E287:E288)</f>
        <v>0</v>
      </c>
      <c r="F286" s="16">
        <f>SUM(F287:F288)</f>
        <v>0</v>
      </c>
      <c r="G286" s="16">
        <f t="shared" si="520"/>
        <v>0</v>
      </c>
      <c r="H286" s="16">
        <f t="shared" ref="H286:Z286" si="579">SUM(H287:H288)</f>
        <v>0</v>
      </c>
      <c r="I286" s="16">
        <f t="shared" ref="I286" si="580">SUM(I287:I288)</f>
        <v>0</v>
      </c>
      <c r="J286" s="16">
        <f t="shared" si="521"/>
        <v>0</v>
      </c>
      <c r="K286" s="16">
        <f t="shared" si="579"/>
        <v>5000</v>
      </c>
      <c r="L286" s="16">
        <f t="shared" ref="L286" si="581">SUM(L287:L288)</f>
        <v>5000</v>
      </c>
      <c r="M286" s="16">
        <f t="shared" si="522"/>
        <v>0</v>
      </c>
      <c r="N286" s="16">
        <f t="shared" si="579"/>
        <v>170764</v>
      </c>
      <c r="O286" s="16">
        <f t="shared" ref="O286" si="582">SUM(O287:O288)</f>
        <v>170764</v>
      </c>
      <c r="P286" s="16">
        <f t="shared" si="523"/>
        <v>0</v>
      </c>
      <c r="Q286" s="16">
        <f t="shared" si="579"/>
        <v>0</v>
      </c>
      <c r="R286" s="16">
        <f t="shared" ref="R286" si="583">SUM(R287:R288)</f>
        <v>0</v>
      </c>
      <c r="S286" s="16">
        <f t="shared" si="524"/>
        <v>0</v>
      </c>
      <c r="T286" s="16">
        <f t="shared" si="579"/>
        <v>0</v>
      </c>
      <c r="U286" s="16">
        <f t="shared" ref="U286" si="584">SUM(U287:U288)</f>
        <v>0</v>
      </c>
      <c r="V286" s="16">
        <f t="shared" si="525"/>
        <v>0</v>
      </c>
      <c r="W286" s="16">
        <f t="shared" ref="W286" si="585">SUM(W287:W288)</f>
        <v>0</v>
      </c>
      <c r="X286" s="16">
        <f t="shared" ref="X286" si="586">SUM(X287:X288)</f>
        <v>0</v>
      </c>
      <c r="Y286" s="16">
        <f t="shared" si="526"/>
        <v>0</v>
      </c>
      <c r="Z286" s="16">
        <f t="shared" si="579"/>
        <v>0</v>
      </c>
      <c r="AA286" s="16">
        <f t="shared" ref="AA286" si="587">SUM(AA287:AA288)</f>
        <v>0</v>
      </c>
      <c r="AB286" s="16">
        <f t="shared" si="527"/>
        <v>0</v>
      </c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14"/>
      <c r="DZ286" s="14"/>
      <c r="EA286" s="14"/>
      <c r="EB286" s="14"/>
      <c r="EC286" s="14"/>
      <c r="ED286" s="14"/>
      <c r="EE286" s="14"/>
      <c r="EF286" s="14"/>
      <c r="EG286" s="14"/>
      <c r="EH286" s="14"/>
      <c r="EI286" s="14"/>
      <c r="EJ286" s="14"/>
      <c r="EK286" s="14"/>
      <c r="EL286" s="14"/>
      <c r="EM286" s="14"/>
      <c r="EN286" s="14"/>
      <c r="EO286" s="14"/>
      <c r="EP286" s="14"/>
      <c r="EQ286" s="14"/>
      <c r="ER286" s="14"/>
      <c r="ES286" s="14"/>
      <c r="ET286" s="14"/>
      <c r="EU286" s="14"/>
      <c r="EV286" s="14"/>
      <c r="EW286" s="14"/>
      <c r="EX286" s="14"/>
      <c r="EY286" s="14"/>
      <c r="EZ286" s="14"/>
      <c r="FA286" s="14"/>
      <c r="FB286" s="14"/>
      <c r="FC286" s="14"/>
      <c r="FD286" s="14"/>
      <c r="FE286" s="14"/>
      <c r="FF286" s="14"/>
      <c r="FG286" s="14"/>
      <c r="FH286" s="14"/>
      <c r="FI286" s="14"/>
      <c r="FJ286" s="14"/>
      <c r="FK286" s="14"/>
      <c r="FL286" s="14"/>
      <c r="FM286" s="14"/>
      <c r="FN286" s="14"/>
      <c r="FO286" s="14"/>
      <c r="FP286" s="14"/>
      <c r="FQ286" s="14"/>
      <c r="FR286" s="14"/>
      <c r="FS286" s="14"/>
      <c r="FT286" s="14"/>
      <c r="FU286" s="14"/>
      <c r="FV286" s="14"/>
      <c r="FW286" s="14"/>
      <c r="FX286" s="14"/>
      <c r="FY286" s="14"/>
      <c r="FZ286" s="14"/>
      <c r="GA286" s="14"/>
      <c r="GB286" s="14"/>
      <c r="GC286" s="14"/>
      <c r="GD286" s="14"/>
      <c r="GE286" s="14"/>
      <c r="GF286" s="14"/>
      <c r="GG286" s="14"/>
    </row>
    <row r="287" spans="1:189" s="17" customFormat="1" ht="78.75" x14ac:dyDescent="0.25">
      <c r="A287" s="31" t="s">
        <v>192</v>
      </c>
      <c r="B287" s="23">
        <f t="shared" si="518"/>
        <v>170764</v>
      </c>
      <c r="C287" s="23">
        <f t="shared" si="548"/>
        <v>170764</v>
      </c>
      <c r="D287" s="23">
        <f t="shared" si="548"/>
        <v>0</v>
      </c>
      <c r="E287" s="23"/>
      <c r="F287" s="23"/>
      <c r="G287" s="23">
        <f t="shared" si="520"/>
        <v>0</v>
      </c>
      <c r="H287" s="23"/>
      <c r="I287" s="23"/>
      <c r="J287" s="23">
        <f t="shared" si="521"/>
        <v>0</v>
      </c>
      <c r="K287" s="23"/>
      <c r="L287" s="23"/>
      <c r="M287" s="23">
        <f t="shared" si="522"/>
        <v>0</v>
      </c>
      <c r="N287" s="23">
        <v>170764</v>
      </c>
      <c r="O287" s="23">
        <v>170764</v>
      </c>
      <c r="P287" s="23">
        <f t="shared" si="523"/>
        <v>0</v>
      </c>
      <c r="Q287" s="23"/>
      <c r="R287" s="23"/>
      <c r="S287" s="23">
        <f t="shared" si="524"/>
        <v>0</v>
      </c>
      <c r="T287" s="23"/>
      <c r="U287" s="23"/>
      <c r="V287" s="23">
        <f t="shared" si="525"/>
        <v>0</v>
      </c>
      <c r="W287" s="23"/>
      <c r="X287" s="23"/>
      <c r="Y287" s="23">
        <f t="shared" si="526"/>
        <v>0</v>
      </c>
      <c r="Z287" s="23"/>
      <c r="AA287" s="23"/>
      <c r="AB287" s="23">
        <f t="shared" si="527"/>
        <v>0</v>
      </c>
    </row>
    <row r="288" spans="1:189" s="17" customFormat="1" ht="31.5" x14ac:dyDescent="0.25">
      <c r="A288" s="19" t="s">
        <v>193</v>
      </c>
      <c r="B288" s="23">
        <f t="shared" si="518"/>
        <v>5000</v>
      </c>
      <c r="C288" s="23">
        <f t="shared" si="548"/>
        <v>5000</v>
      </c>
      <c r="D288" s="23">
        <f t="shared" si="548"/>
        <v>0</v>
      </c>
      <c r="E288" s="23"/>
      <c r="F288" s="23"/>
      <c r="G288" s="23">
        <f t="shared" si="520"/>
        <v>0</v>
      </c>
      <c r="H288" s="23"/>
      <c r="I288" s="23"/>
      <c r="J288" s="23">
        <f t="shared" si="521"/>
        <v>0</v>
      </c>
      <c r="K288" s="23">
        <v>5000</v>
      </c>
      <c r="L288" s="23">
        <v>5000</v>
      </c>
      <c r="M288" s="23">
        <f t="shared" si="522"/>
        <v>0</v>
      </c>
      <c r="N288" s="23"/>
      <c r="O288" s="23"/>
      <c r="P288" s="23">
        <f t="shared" si="523"/>
        <v>0</v>
      </c>
      <c r="Q288" s="23"/>
      <c r="R288" s="23"/>
      <c r="S288" s="23">
        <f t="shared" si="524"/>
        <v>0</v>
      </c>
      <c r="T288" s="23"/>
      <c r="U288" s="23"/>
      <c r="V288" s="23">
        <f t="shared" si="525"/>
        <v>0</v>
      </c>
      <c r="W288" s="23"/>
      <c r="X288" s="23"/>
      <c r="Y288" s="23">
        <f t="shared" si="526"/>
        <v>0</v>
      </c>
      <c r="Z288" s="23"/>
      <c r="AA288" s="23"/>
      <c r="AB288" s="23">
        <f t="shared" si="527"/>
        <v>0</v>
      </c>
    </row>
    <row r="289" spans="1:189" s="17" customFormat="1" x14ac:dyDescent="0.25">
      <c r="A289" s="15" t="s">
        <v>117</v>
      </c>
      <c r="B289" s="16">
        <f t="shared" si="518"/>
        <v>54500</v>
      </c>
      <c r="C289" s="16">
        <f t="shared" si="548"/>
        <v>54500</v>
      </c>
      <c r="D289" s="16">
        <f t="shared" si="548"/>
        <v>0</v>
      </c>
      <c r="E289" s="16">
        <f t="shared" ref="E289:Z289" si="588">SUM(E290:E291)</f>
        <v>0</v>
      </c>
      <c r="F289" s="16">
        <f t="shared" ref="F289" si="589">SUM(F290:F291)</f>
        <v>0</v>
      </c>
      <c r="G289" s="16">
        <f t="shared" si="520"/>
        <v>0</v>
      </c>
      <c r="H289" s="16">
        <f t="shared" si="588"/>
        <v>0</v>
      </c>
      <c r="I289" s="16">
        <f t="shared" ref="I289" si="590">SUM(I290:I291)</f>
        <v>0</v>
      </c>
      <c r="J289" s="16">
        <f t="shared" si="521"/>
        <v>0</v>
      </c>
      <c r="K289" s="16">
        <f t="shared" si="588"/>
        <v>54500</v>
      </c>
      <c r="L289" s="16">
        <f t="shared" ref="L289" si="591">SUM(L290:L291)</f>
        <v>54500</v>
      </c>
      <c r="M289" s="16">
        <f t="shared" si="522"/>
        <v>0</v>
      </c>
      <c r="N289" s="16">
        <f t="shared" si="588"/>
        <v>0</v>
      </c>
      <c r="O289" s="16">
        <f t="shared" ref="O289" si="592">SUM(O290:O291)</f>
        <v>0</v>
      </c>
      <c r="P289" s="16">
        <f t="shared" si="523"/>
        <v>0</v>
      </c>
      <c r="Q289" s="16">
        <f t="shared" si="588"/>
        <v>0</v>
      </c>
      <c r="R289" s="16">
        <f t="shared" ref="R289" si="593">SUM(R290:R291)</f>
        <v>0</v>
      </c>
      <c r="S289" s="16">
        <f t="shared" si="524"/>
        <v>0</v>
      </c>
      <c r="T289" s="16">
        <f t="shared" si="588"/>
        <v>0</v>
      </c>
      <c r="U289" s="16">
        <f t="shared" ref="U289" si="594">SUM(U290:U291)</f>
        <v>0</v>
      </c>
      <c r="V289" s="16">
        <f t="shared" si="525"/>
        <v>0</v>
      </c>
      <c r="W289" s="16">
        <f t="shared" ref="W289" si="595">SUM(W290:W291)</f>
        <v>0</v>
      </c>
      <c r="X289" s="16">
        <f t="shared" ref="X289" si="596">SUM(X290:X291)</f>
        <v>0</v>
      </c>
      <c r="Y289" s="16">
        <f t="shared" si="526"/>
        <v>0</v>
      </c>
      <c r="Z289" s="16">
        <f t="shared" si="588"/>
        <v>0</v>
      </c>
      <c r="AA289" s="16">
        <f t="shared" ref="AA289" si="597">SUM(AA290:AA291)</f>
        <v>0</v>
      </c>
      <c r="AB289" s="16">
        <f t="shared" si="527"/>
        <v>0</v>
      </c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14"/>
      <c r="DM289" s="14"/>
      <c r="DN289" s="14"/>
      <c r="DO289" s="14"/>
      <c r="DP289" s="14"/>
      <c r="DQ289" s="14"/>
      <c r="DR289" s="14"/>
      <c r="DS289" s="14"/>
      <c r="DT289" s="14"/>
      <c r="DU289" s="14"/>
      <c r="DV289" s="14"/>
      <c r="DW289" s="14"/>
      <c r="DX289" s="14"/>
      <c r="DY289" s="14"/>
      <c r="DZ289" s="14"/>
      <c r="EA289" s="14"/>
      <c r="EB289" s="14"/>
      <c r="EC289" s="14"/>
      <c r="ED289" s="14"/>
      <c r="EE289" s="14"/>
      <c r="EF289" s="14"/>
      <c r="EG289" s="14"/>
      <c r="EH289" s="14"/>
      <c r="EI289" s="14"/>
      <c r="EJ289" s="14"/>
      <c r="EK289" s="14"/>
      <c r="EL289" s="14"/>
      <c r="EM289" s="14"/>
      <c r="EN289" s="14"/>
      <c r="EO289" s="14"/>
      <c r="EP289" s="14"/>
      <c r="EQ289" s="14"/>
      <c r="ER289" s="14"/>
      <c r="ES289" s="14"/>
      <c r="ET289" s="14"/>
      <c r="EU289" s="14"/>
      <c r="EV289" s="14"/>
      <c r="EW289" s="14"/>
      <c r="EX289" s="14"/>
      <c r="EY289" s="14"/>
      <c r="EZ289" s="14"/>
      <c r="FA289" s="14"/>
      <c r="FB289" s="14"/>
      <c r="FC289" s="14"/>
      <c r="FD289" s="14"/>
      <c r="FE289" s="14"/>
      <c r="FF289" s="14"/>
      <c r="FG289" s="14"/>
      <c r="FH289" s="14"/>
      <c r="FI289" s="14"/>
      <c r="FJ289" s="14"/>
      <c r="FK289" s="14"/>
      <c r="FL289" s="14"/>
      <c r="FM289" s="14"/>
      <c r="FN289" s="14"/>
      <c r="FO289" s="14"/>
      <c r="FP289" s="14"/>
      <c r="FQ289" s="14"/>
      <c r="FR289" s="14"/>
      <c r="FS289" s="14"/>
      <c r="FT289" s="14"/>
      <c r="FU289" s="14"/>
      <c r="FV289" s="14"/>
      <c r="FW289" s="14"/>
      <c r="FX289" s="14"/>
      <c r="FY289" s="14"/>
      <c r="FZ289" s="14"/>
      <c r="GA289" s="14"/>
      <c r="GB289" s="14"/>
      <c r="GC289" s="14"/>
      <c r="GD289" s="14"/>
      <c r="GE289" s="14"/>
      <c r="GF289" s="14"/>
      <c r="GG289" s="14"/>
    </row>
    <row r="290" spans="1:189" s="17" customFormat="1" ht="47.25" x14ac:dyDescent="0.25">
      <c r="A290" s="22" t="s">
        <v>194</v>
      </c>
      <c r="B290" s="23">
        <f t="shared" si="518"/>
        <v>5500</v>
      </c>
      <c r="C290" s="23">
        <f t="shared" ref="C290:D305" si="598">F290+I290+L290+O290+R290+U290+AA290</f>
        <v>5500</v>
      </c>
      <c r="D290" s="23">
        <f t="shared" si="598"/>
        <v>0</v>
      </c>
      <c r="E290" s="23"/>
      <c r="F290" s="23"/>
      <c r="G290" s="23">
        <f t="shared" si="520"/>
        <v>0</v>
      </c>
      <c r="H290" s="23"/>
      <c r="I290" s="23"/>
      <c r="J290" s="23">
        <f t="shared" si="521"/>
        <v>0</v>
      </c>
      <c r="K290" s="23">
        <v>5500</v>
      </c>
      <c r="L290" s="23">
        <v>5500</v>
      </c>
      <c r="M290" s="23">
        <f t="shared" si="522"/>
        <v>0</v>
      </c>
      <c r="N290" s="23"/>
      <c r="O290" s="23"/>
      <c r="P290" s="23">
        <f t="shared" si="523"/>
        <v>0</v>
      </c>
      <c r="Q290" s="23"/>
      <c r="R290" s="23"/>
      <c r="S290" s="23">
        <f t="shared" si="524"/>
        <v>0</v>
      </c>
      <c r="T290" s="23"/>
      <c r="U290" s="23"/>
      <c r="V290" s="23">
        <f t="shared" si="525"/>
        <v>0</v>
      </c>
      <c r="W290" s="23"/>
      <c r="X290" s="23"/>
      <c r="Y290" s="23">
        <f t="shared" si="526"/>
        <v>0</v>
      </c>
      <c r="Z290" s="23"/>
      <c r="AA290" s="23"/>
      <c r="AB290" s="23">
        <f t="shared" si="527"/>
        <v>0</v>
      </c>
      <c r="FN290" s="14"/>
      <c r="FO290" s="14"/>
      <c r="FP290" s="14"/>
      <c r="FQ290" s="14"/>
      <c r="FR290" s="14"/>
      <c r="FS290" s="14"/>
      <c r="FT290" s="14"/>
      <c r="FU290" s="14"/>
      <c r="FV290" s="14"/>
      <c r="FW290" s="14"/>
      <c r="FX290" s="14"/>
      <c r="FY290" s="14"/>
      <c r="FZ290" s="14"/>
      <c r="GA290" s="14"/>
      <c r="GB290" s="14"/>
      <c r="GC290" s="14"/>
      <c r="GD290" s="14"/>
      <c r="GE290" s="14"/>
      <c r="GF290" s="14"/>
      <c r="GG290" s="14"/>
    </row>
    <row r="291" spans="1:189" s="17" customFormat="1" ht="31.5" x14ac:dyDescent="0.25">
      <c r="A291" s="22" t="s">
        <v>195</v>
      </c>
      <c r="B291" s="23">
        <f t="shared" si="518"/>
        <v>49000</v>
      </c>
      <c r="C291" s="23">
        <f t="shared" si="598"/>
        <v>49000</v>
      </c>
      <c r="D291" s="23">
        <f t="shared" si="598"/>
        <v>0</v>
      </c>
      <c r="E291" s="23"/>
      <c r="F291" s="23"/>
      <c r="G291" s="23">
        <f t="shared" si="520"/>
        <v>0</v>
      </c>
      <c r="H291" s="23"/>
      <c r="I291" s="23"/>
      <c r="J291" s="23">
        <f t="shared" si="521"/>
        <v>0</v>
      </c>
      <c r="K291" s="23">
        <v>49000</v>
      </c>
      <c r="L291" s="23">
        <v>49000</v>
      </c>
      <c r="M291" s="23">
        <f t="shared" si="522"/>
        <v>0</v>
      </c>
      <c r="N291" s="23"/>
      <c r="O291" s="23"/>
      <c r="P291" s="23">
        <f t="shared" si="523"/>
        <v>0</v>
      </c>
      <c r="Q291" s="23"/>
      <c r="R291" s="23"/>
      <c r="S291" s="23">
        <f t="shared" si="524"/>
        <v>0</v>
      </c>
      <c r="T291" s="23"/>
      <c r="U291" s="23"/>
      <c r="V291" s="23">
        <f t="shared" si="525"/>
        <v>0</v>
      </c>
      <c r="W291" s="23"/>
      <c r="X291" s="23"/>
      <c r="Y291" s="23">
        <f t="shared" si="526"/>
        <v>0</v>
      </c>
      <c r="Z291" s="23"/>
      <c r="AA291" s="23"/>
      <c r="AB291" s="23">
        <f t="shared" si="527"/>
        <v>0</v>
      </c>
      <c r="FN291" s="14"/>
      <c r="FO291" s="14"/>
      <c r="FP291" s="14"/>
      <c r="FQ291" s="14"/>
      <c r="FR291" s="14"/>
      <c r="FS291" s="14"/>
      <c r="FT291" s="14"/>
      <c r="FU291" s="14"/>
      <c r="FV291" s="14"/>
      <c r="FW291" s="14"/>
      <c r="FX291" s="14"/>
      <c r="FY291" s="14"/>
      <c r="FZ291" s="14"/>
      <c r="GA291" s="14"/>
      <c r="GB291" s="14"/>
      <c r="GC291" s="14"/>
      <c r="GD291" s="14"/>
      <c r="GE291" s="14"/>
      <c r="GF291" s="14"/>
      <c r="GG291" s="14"/>
    </row>
    <row r="292" spans="1:189" s="17" customFormat="1" x14ac:dyDescent="0.25">
      <c r="A292" s="15" t="s">
        <v>155</v>
      </c>
      <c r="B292" s="16">
        <f t="shared" si="518"/>
        <v>65120</v>
      </c>
      <c r="C292" s="16">
        <f t="shared" si="598"/>
        <v>65120</v>
      </c>
      <c r="D292" s="16">
        <f t="shared" si="598"/>
        <v>0</v>
      </c>
      <c r="E292" s="16">
        <f>SUM(E293:E294)</f>
        <v>0</v>
      </c>
      <c r="F292" s="16">
        <f>SUM(F293:F294)</f>
        <v>0</v>
      </c>
      <c r="G292" s="16">
        <f t="shared" si="520"/>
        <v>0</v>
      </c>
      <c r="H292" s="16">
        <f t="shared" ref="H292:Z292" si="599">SUM(H293:H294)</f>
        <v>0</v>
      </c>
      <c r="I292" s="16">
        <f t="shared" ref="I292" si="600">SUM(I293:I294)</f>
        <v>0</v>
      </c>
      <c r="J292" s="16">
        <f t="shared" si="521"/>
        <v>0</v>
      </c>
      <c r="K292" s="16">
        <f t="shared" si="599"/>
        <v>65120</v>
      </c>
      <c r="L292" s="16">
        <f t="shared" ref="L292" si="601">SUM(L293:L294)</f>
        <v>65120</v>
      </c>
      <c r="M292" s="16">
        <f t="shared" si="522"/>
        <v>0</v>
      </c>
      <c r="N292" s="16">
        <f t="shared" si="599"/>
        <v>0</v>
      </c>
      <c r="O292" s="16">
        <f t="shared" ref="O292" si="602">SUM(O293:O294)</f>
        <v>0</v>
      </c>
      <c r="P292" s="16">
        <f t="shared" si="523"/>
        <v>0</v>
      </c>
      <c r="Q292" s="16">
        <f t="shared" si="599"/>
        <v>0</v>
      </c>
      <c r="R292" s="16">
        <f t="shared" ref="R292" si="603">SUM(R293:R294)</f>
        <v>0</v>
      </c>
      <c r="S292" s="16">
        <f t="shared" si="524"/>
        <v>0</v>
      </c>
      <c r="T292" s="16">
        <f t="shared" si="599"/>
        <v>0</v>
      </c>
      <c r="U292" s="16">
        <f t="shared" ref="U292" si="604">SUM(U293:U294)</f>
        <v>0</v>
      </c>
      <c r="V292" s="16">
        <f t="shared" si="525"/>
        <v>0</v>
      </c>
      <c r="W292" s="16">
        <f t="shared" ref="W292" si="605">SUM(W293:W294)</f>
        <v>0</v>
      </c>
      <c r="X292" s="16">
        <f t="shared" ref="X292" si="606">SUM(X293:X294)</f>
        <v>0</v>
      </c>
      <c r="Y292" s="16">
        <f t="shared" si="526"/>
        <v>0</v>
      </c>
      <c r="Z292" s="16">
        <f t="shared" si="599"/>
        <v>0</v>
      </c>
      <c r="AA292" s="16">
        <f t="shared" ref="AA292" si="607">SUM(AA293:AA294)</f>
        <v>0</v>
      </c>
      <c r="AB292" s="16">
        <f t="shared" si="527"/>
        <v>0</v>
      </c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14"/>
      <c r="DM292" s="14"/>
      <c r="DN292" s="14"/>
      <c r="DO292" s="14"/>
      <c r="DP292" s="14"/>
      <c r="DQ292" s="14"/>
      <c r="DR292" s="14"/>
      <c r="DS292" s="14"/>
      <c r="DT292" s="14"/>
      <c r="DU292" s="14"/>
      <c r="DV292" s="14"/>
      <c r="DW292" s="14"/>
      <c r="DX292" s="14"/>
      <c r="DY292" s="14"/>
      <c r="DZ292" s="14"/>
      <c r="EA292" s="14"/>
      <c r="EB292" s="14"/>
      <c r="EC292" s="14"/>
      <c r="ED292" s="14"/>
      <c r="EE292" s="14"/>
      <c r="EF292" s="14"/>
      <c r="EG292" s="14"/>
      <c r="EH292" s="14"/>
      <c r="EI292" s="14"/>
      <c r="EJ292" s="14"/>
      <c r="EK292" s="14"/>
      <c r="EL292" s="14"/>
      <c r="EM292" s="14"/>
      <c r="EN292" s="14"/>
      <c r="EO292" s="14"/>
      <c r="EP292" s="14"/>
      <c r="EQ292" s="14"/>
      <c r="ER292" s="14"/>
      <c r="ES292" s="14"/>
      <c r="ET292" s="14"/>
      <c r="EU292" s="14"/>
      <c r="EV292" s="14"/>
      <c r="EW292" s="14"/>
      <c r="EX292" s="14"/>
      <c r="EY292" s="14"/>
      <c r="EZ292" s="14"/>
      <c r="FA292" s="14"/>
      <c r="FB292" s="14"/>
      <c r="FC292" s="14"/>
      <c r="FD292" s="14"/>
      <c r="FE292" s="14"/>
      <c r="FF292" s="14"/>
      <c r="FG292" s="14"/>
      <c r="FH292" s="14"/>
      <c r="FI292" s="14"/>
      <c r="FJ292" s="14"/>
      <c r="FK292" s="14"/>
      <c r="FL292" s="14"/>
      <c r="FM292" s="14"/>
    </row>
    <row r="293" spans="1:189" s="17" customFormat="1" ht="47.25" x14ac:dyDescent="0.25">
      <c r="A293" s="22" t="s">
        <v>196</v>
      </c>
      <c r="B293" s="23">
        <f t="shared" si="518"/>
        <v>62000</v>
      </c>
      <c r="C293" s="23">
        <f t="shared" si="598"/>
        <v>62000</v>
      </c>
      <c r="D293" s="23">
        <f t="shared" si="598"/>
        <v>0</v>
      </c>
      <c r="E293" s="23"/>
      <c r="F293" s="23"/>
      <c r="G293" s="23">
        <f t="shared" si="520"/>
        <v>0</v>
      </c>
      <c r="H293" s="23"/>
      <c r="I293" s="23"/>
      <c r="J293" s="23">
        <f t="shared" si="521"/>
        <v>0</v>
      </c>
      <c r="K293" s="23">
        <v>62000</v>
      </c>
      <c r="L293" s="23">
        <v>62000</v>
      </c>
      <c r="M293" s="23">
        <f t="shared" si="522"/>
        <v>0</v>
      </c>
      <c r="N293" s="23"/>
      <c r="O293" s="23"/>
      <c r="P293" s="23">
        <f t="shared" si="523"/>
        <v>0</v>
      </c>
      <c r="Q293" s="23"/>
      <c r="R293" s="23"/>
      <c r="S293" s="23">
        <f t="shared" si="524"/>
        <v>0</v>
      </c>
      <c r="T293" s="23"/>
      <c r="U293" s="23"/>
      <c r="V293" s="23">
        <f t="shared" si="525"/>
        <v>0</v>
      </c>
      <c r="W293" s="23"/>
      <c r="X293" s="23"/>
      <c r="Y293" s="23">
        <f t="shared" si="526"/>
        <v>0</v>
      </c>
      <c r="Z293" s="23"/>
      <c r="AA293" s="23"/>
      <c r="AB293" s="23">
        <f t="shared" si="527"/>
        <v>0</v>
      </c>
      <c r="FN293" s="14"/>
      <c r="FO293" s="14"/>
      <c r="FP293" s="14"/>
      <c r="FQ293" s="14"/>
      <c r="FR293" s="14"/>
      <c r="FS293" s="14"/>
      <c r="FT293" s="14"/>
      <c r="FU293" s="14"/>
      <c r="FV293" s="14"/>
      <c r="FW293" s="14"/>
      <c r="FX293" s="14"/>
      <c r="FY293" s="14"/>
      <c r="FZ293" s="14"/>
      <c r="GA293" s="14"/>
      <c r="GB293" s="14"/>
      <c r="GC293" s="14"/>
      <c r="GD293" s="14"/>
      <c r="GE293" s="14"/>
      <c r="GF293" s="14"/>
      <c r="GG293" s="14"/>
    </row>
    <row r="294" spans="1:189" s="17" customFormat="1" x14ac:dyDescent="0.25">
      <c r="A294" s="22" t="s">
        <v>197</v>
      </c>
      <c r="B294" s="23">
        <f t="shared" si="518"/>
        <v>3120</v>
      </c>
      <c r="C294" s="23">
        <f t="shared" si="598"/>
        <v>3120</v>
      </c>
      <c r="D294" s="23">
        <f t="shared" si="598"/>
        <v>0</v>
      </c>
      <c r="E294" s="23"/>
      <c r="F294" s="23"/>
      <c r="G294" s="23">
        <f t="shared" si="520"/>
        <v>0</v>
      </c>
      <c r="H294" s="23"/>
      <c r="I294" s="23"/>
      <c r="J294" s="23">
        <f t="shared" si="521"/>
        <v>0</v>
      </c>
      <c r="K294" s="23">
        <v>3120</v>
      </c>
      <c r="L294" s="23">
        <v>3120</v>
      </c>
      <c r="M294" s="23">
        <f t="shared" si="522"/>
        <v>0</v>
      </c>
      <c r="N294" s="23"/>
      <c r="O294" s="23"/>
      <c r="P294" s="23">
        <f t="shared" si="523"/>
        <v>0</v>
      </c>
      <c r="Q294" s="23"/>
      <c r="R294" s="23"/>
      <c r="S294" s="23">
        <f t="shared" si="524"/>
        <v>0</v>
      </c>
      <c r="T294" s="23"/>
      <c r="U294" s="23"/>
      <c r="V294" s="23">
        <f t="shared" si="525"/>
        <v>0</v>
      </c>
      <c r="W294" s="23"/>
      <c r="X294" s="23"/>
      <c r="Y294" s="23">
        <f t="shared" si="526"/>
        <v>0</v>
      </c>
      <c r="Z294" s="23"/>
      <c r="AA294" s="23"/>
      <c r="AB294" s="23">
        <f t="shared" si="527"/>
        <v>0</v>
      </c>
      <c r="FN294" s="14"/>
      <c r="FO294" s="14"/>
      <c r="FP294" s="14"/>
      <c r="FQ294" s="14"/>
      <c r="FR294" s="14"/>
      <c r="FS294" s="14"/>
      <c r="FT294" s="14"/>
      <c r="FU294" s="14"/>
      <c r="FV294" s="14"/>
      <c r="FW294" s="14"/>
      <c r="FX294" s="14"/>
      <c r="FY294" s="14"/>
      <c r="FZ294" s="14"/>
      <c r="GA294" s="14"/>
      <c r="GB294" s="14"/>
      <c r="GC294" s="14"/>
      <c r="GD294" s="14"/>
      <c r="GE294" s="14"/>
      <c r="GF294" s="14"/>
      <c r="GG294" s="14"/>
    </row>
    <row r="295" spans="1:189" s="17" customFormat="1" x14ac:dyDescent="0.25">
      <c r="A295" s="15" t="s">
        <v>98</v>
      </c>
      <c r="B295" s="16">
        <f t="shared" si="518"/>
        <v>2400593</v>
      </c>
      <c r="C295" s="16">
        <f t="shared" si="598"/>
        <v>2400593</v>
      </c>
      <c r="D295" s="16">
        <f t="shared" si="598"/>
        <v>0</v>
      </c>
      <c r="E295" s="16">
        <f>SUM(E296,E299,E301,E303)</f>
        <v>0</v>
      </c>
      <c r="F295" s="16">
        <f>SUM(F296,F299,F301,F303)</f>
        <v>0</v>
      </c>
      <c r="G295" s="16">
        <f t="shared" si="520"/>
        <v>0</v>
      </c>
      <c r="H295" s="16">
        <f t="shared" ref="H295:Z295" si="608">SUM(H296,H299,H301,H303)</f>
        <v>0</v>
      </c>
      <c r="I295" s="16">
        <f t="shared" ref="I295" si="609">SUM(I296,I299,I301,I303)</f>
        <v>0</v>
      </c>
      <c r="J295" s="16">
        <f t="shared" si="521"/>
        <v>0</v>
      </c>
      <c r="K295" s="16">
        <f t="shared" si="608"/>
        <v>3318</v>
      </c>
      <c r="L295" s="16">
        <f t="shared" ref="L295" si="610">SUM(L296,L299,L301,L303)</f>
        <v>3318</v>
      </c>
      <c r="M295" s="16">
        <f t="shared" si="522"/>
        <v>0</v>
      </c>
      <c r="N295" s="16">
        <f t="shared" si="608"/>
        <v>2397275</v>
      </c>
      <c r="O295" s="16">
        <f t="shared" ref="O295" si="611">SUM(O296,O299,O301,O303)</f>
        <v>2397275</v>
      </c>
      <c r="P295" s="16">
        <f t="shared" si="523"/>
        <v>0</v>
      </c>
      <c r="Q295" s="16">
        <f t="shared" si="608"/>
        <v>0</v>
      </c>
      <c r="R295" s="16">
        <f t="shared" ref="R295" si="612">SUM(R296,R299,R301,R303)</f>
        <v>0</v>
      </c>
      <c r="S295" s="16">
        <f t="shared" si="524"/>
        <v>0</v>
      </c>
      <c r="T295" s="16">
        <f t="shared" si="608"/>
        <v>0</v>
      </c>
      <c r="U295" s="16">
        <f t="shared" ref="U295" si="613">SUM(U296,U299,U301,U303)</f>
        <v>0</v>
      </c>
      <c r="V295" s="16">
        <f t="shared" si="525"/>
        <v>0</v>
      </c>
      <c r="W295" s="16">
        <f t="shared" ref="W295" si="614">SUM(W296,W299,W301,W303)</f>
        <v>0</v>
      </c>
      <c r="X295" s="16">
        <f t="shared" ref="X295" si="615">SUM(X296,X299,X301,X303)</f>
        <v>0</v>
      </c>
      <c r="Y295" s="16">
        <f t="shared" si="526"/>
        <v>0</v>
      </c>
      <c r="Z295" s="16">
        <f t="shared" si="608"/>
        <v>0</v>
      </c>
      <c r="AA295" s="16">
        <f t="shared" ref="AA295" si="616">SUM(AA296,AA299,AA301,AA303)</f>
        <v>0</v>
      </c>
      <c r="AB295" s="16">
        <f t="shared" si="527"/>
        <v>0</v>
      </c>
      <c r="FN295" s="14"/>
      <c r="FO295" s="14"/>
      <c r="FP295" s="14"/>
      <c r="FQ295" s="14"/>
      <c r="FR295" s="14"/>
      <c r="FS295" s="14"/>
      <c r="FT295" s="14"/>
      <c r="FU295" s="14"/>
      <c r="FV295" s="14"/>
      <c r="FW295" s="14"/>
      <c r="FX295" s="14"/>
      <c r="FY295" s="14"/>
      <c r="FZ295" s="14"/>
      <c r="GA295" s="14"/>
      <c r="GB295" s="14"/>
      <c r="GC295" s="14"/>
      <c r="GD295" s="14"/>
      <c r="GE295" s="14"/>
      <c r="GF295" s="14"/>
      <c r="GG295" s="14"/>
    </row>
    <row r="296" spans="1:189" s="17" customFormat="1" x14ac:dyDescent="0.25">
      <c r="A296" s="15" t="s">
        <v>105</v>
      </c>
      <c r="B296" s="16">
        <f t="shared" si="518"/>
        <v>3318</v>
      </c>
      <c r="C296" s="16">
        <f t="shared" si="598"/>
        <v>3318</v>
      </c>
      <c r="D296" s="16">
        <f t="shared" si="598"/>
        <v>0</v>
      </c>
      <c r="E296" s="16">
        <f t="shared" ref="E296:Z296" si="617">SUM(E297:E298)</f>
        <v>0</v>
      </c>
      <c r="F296" s="16">
        <f t="shared" ref="F296" si="618">SUM(F297:F298)</f>
        <v>0</v>
      </c>
      <c r="G296" s="16">
        <f t="shared" si="520"/>
        <v>0</v>
      </c>
      <c r="H296" s="16">
        <f t="shared" si="617"/>
        <v>0</v>
      </c>
      <c r="I296" s="16">
        <f t="shared" ref="I296" si="619">SUM(I297:I298)</f>
        <v>0</v>
      </c>
      <c r="J296" s="16">
        <f t="shared" si="521"/>
        <v>0</v>
      </c>
      <c r="K296" s="16">
        <f t="shared" si="617"/>
        <v>3318</v>
      </c>
      <c r="L296" s="16">
        <f t="shared" ref="L296" si="620">SUM(L297:L298)</f>
        <v>3318</v>
      </c>
      <c r="M296" s="16">
        <f t="shared" si="522"/>
        <v>0</v>
      </c>
      <c r="N296" s="16">
        <f t="shared" si="617"/>
        <v>0</v>
      </c>
      <c r="O296" s="16">
        <f t="shared" ref="O296" si="621">SUM(O297:O298)</f>
        <v>0</v>
      </c>
      <c r="P296" s="16">
        <f t="shared" si="523"/>
        <v>0</v>
      </c>
      <c r="Q296" s="16">
        <f t="shared" si="617"/>
        <v>0</v>
      </c>
      <c r="R296" s="16">
        <f t="shared" ref="R296" si="622">SUM(R297:R298)</f>
        <v>0</v>
      </c>
      <c r="S296" s="16">
        <f t="shared" si="524"/>
        <v>0</v>
      </c>
      <c r="T296" s="16">
        <f t="shared" si="617"/>
        <v>0</v>
      </c>
      <c r="U296" s="16">
        <f t="shared" ref="U296" si="623">SUM(U297:U298)</f>
        <v>0</v>
      </c>
      <c r="V296" s="16">
        <f t="shared" si="525"/>
        <v>0</v>
      </c>
      <c r="W296" s="16">
        <f t="shared" ref="W296" si="624">SUM(W297:W298)</f>
        <v>0</v>
      </c>
      <c r="X296" s="16">
        <f t="shared" ref="X296" si="625">SUM(X297:X298)</f>
        <v>0</v>
      </c>
      <c r="Y296" s="16">
        <f t="shared" si="526"/>
        <v>0</v>
      </c>
      <c r="Z296" s="16">
        <f t="shared" si="617"/>
        <v>0</v>
      </c>
      <c r="AA296" s="16">
        <f t="shared" ref="AA296" si="626">SUM(AA297:AA298)</f>
        <v>0</v>
      </c>
      <c r="AB296" s="16">
        <f t="shared" si="527"/>
        <v>0</v>
      </c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14"/>
      <c r="DM296" s="14"/>
      <c r="DN296" s="14"/>
      <c r="DO296" s="14"/>
      <c r="DP296" s="14"/>
      <c r="DQ296" s="14"/>
      <c r="DR296" s="14"/>
      <c r="DS296" s="14"/>
      <c r="DT296" s="14"/>
      <c r="DU296" s="14"/>
      <c r="DV296" s="14"/>
      <c r="DW296" s="14"/>
      <c r="DX296" s="14"/>
      <c r="DY296" s="14"/>
      <c r="DZ296" s="14"/>
      <c r="EA296" s="14"/>
      <c r="EB296" s="14"/>
      <c r="EC296" s="14"/>
      <c r="ED296" s="14"/>
      <c r="EE296" s="14"/>
      <c r="EF296" s="14"/>
      <c r="EG296" s="14"/>
      <c r="EH296" s="14"/>
      <c r="EI296" s="14"/>
      <c r="EJ296" s="14"/>
      <c r="EK296" s="14"/>
      <c r="EL296" s="14"/>
      <c r="EM296" s="14"/>
      <c r="EN296" s="14"/>
      <c r="EO296" s="14"/>
      <c r="EP296" s="14"/>
      <c r="EQ296" s="14"/>
      <c r="ER296" s="14"/>
      <c r="ES296" s="14"/>
      <c r="ET296" s="14"/>
      <c r="EU296" s="14"/>
      <c r="EV296" s="14"/>
      <c r="EW296" s="14"/>
      <c r="EX296" s="14"/>
      <c r="EY296" s="14"/>
      <c r="EZ296" s="14"/>
      <c r="FA296" s="14"/>
      <c r="FB296" s="14"/>
      <c r="FC296" s="14"/>
      <c r="FD296" s="14"/>
      <c r="FE296" s="14"/>
      <c r="FF296" s="14"/>
      <c r="FG296" s="14"/>
      <c r="FH296" s="14"/>
      <c r="FI296" s="14"/>
      <c r="FJ296" s="14"/>
      <c r="FK296" s="14"/>
      <c r="FL296" s="14"/>
      <c r="FM296" s="14"/>
    </row>
    <row r="297" spans="1:189" s="17" customFormat="1" ht="31.5" x14ac:dyDescent="0.25">
      <c r="A297" s="22" t="s">
        <v>198</v>
      </c>
      <c r="B297" s="23">
        <f t="shared" si="518"/>
        <v>2400</v>
      </c>
      <c r="C297" s="23">
        <f t="shared" si="598"/>
        <v>2400</v>
      </c>
      <c r="D297" s="23">
        <f t="shared" si="598"/>
        <v>0</v>
      </c>
      <c r="E297" s="23"/>
      <c r="F297" s="23"/>
      <c r="G297" s="23">
        <f t="shared" si="520"/>
        <v>0</v>
      </c>
      <c r="H297" s="23"/>
      <c r="I297" s="23"/>
      <c r="J297" s="23">
        <f t="shared" si="521"/>
        <v>0</v>
      </c>
      <c r="K297" s="23">
        <v>2400</v>
      </c>
      <c r="L297" s="23">
        <v>2400</v>
      </c>
      <c r="M297" s="23">
        <f t="shared" si="522"/>
        <v>0</v>
      </c>
      <c r="N297" s="23"/>
      <c r="O297" s="23"/>
      <c r="P297" s="23">
        <f t="shared" si="523"/>
        <v>0</v>
      </c>
      <c r="Q297" s="23"/>
      <c r="R297" s="23"/>
      <c r="S297" s="23">
        <f t="shared" si="524"/>
        <v>0</v>
      </c>
      <c r="T297" s="23"/>
      <c r="U297" s="23"/>
      <c r="V297" s="23">
        <f t="shared" si="525"/>
        <v>0</v>
      </c>
      <c r="W297" s="23"/>
      <c r="X297" s="23"/>
      <c r="Y297" s="23">
        <f t="shared" si="526"/>
        <v>0</v>
      </c>
      <c r="Z297" s="23"/>
      <c r="AA297" s="23"/>
      <c r="AB297" s="23">
        <f t="shared" si="527"/>
        <v>0</v>
      </c>
      <c r="FN297" s="14"/>
      <c r="FO297" s="14"/>
      <c r="FP297" s="14"/>
      <c r="FQ297" s="14"/>
      <c r="FR297" s="14"/>
      <c r="FS297" s="14"/>
      <c r="FT297" s="14"/>
      <c r="FU297" s="14"/>
      <c r="FV297" s="14"/>
      <c r="FW297" s="14"/>
      <c r="FX297" s="14"/>
      <c r="FY297" s="14"/>
      <c r="FZ297" s="14"/>
      <c r="GA297" s="14"/>
      <c r="GB297" s="14"/>
      <c r="GC297" s="14"/>
      <c r="GD297" s="14"/>
      <c r="GE297" s="14"/>
      <c r="GF297" s="14"/>
      <c r="GG297" s="14"/>
    </row>
    <row r="298" spans="1:189" s="17" customFormat="1" ht="31.5" x14ac:dyDescent="0.25">
      <c r="A298" s="22" t="s">
        <v>199</v>
      </c>
      <c r="B298" s="23">
        <f t="shared" si="518"/>
        <v>918</v>
      </c>
      <c r="C298" s="23">
        <f t="shared" si="598"/>
        <v>918</v>
      </c>
      <c r="D298" s="23">
        <f t="shared" si="598"/>
        <v>0</v>
      </c>
      <c r="E298" s="23"/>
      <c r="F298" s="23"/>
      <c r="G298" s="23">
        <f t="shared" si="520"/>
        <v>0</v>
      </c>
      <c r="H298" s="23"/>
      <c r="I298" s="23"/>
      <c r="J298" s="23">
        <f t="shared" si="521"/>
        <v>0</v>
      </c>
      <c r="K298" s="23">
        <v>918</v>
      </c>
      <c r="L298" s="23">
        <v>918</v>
      </c>
      <c r="M298" s="23">
        <f t="shared" si="522"/>
        <v>0</v>
      </c>
      <c r="N298" s="23"/>
      <c r="O298" s="23"/>
      <c r="P298" s="23">
        <f t="shared" si="523"/>
        <v>0</v>
      </c>
      <c r="Q298" s="23"/>
      <c r="R298" s="23"/>
      <c r="S298" s="23">
        <f t="shared" si="524"/>
        <v>0</v>
      </c>
      <c r="T298" s="23"/>
      <c r="U298" s="23"/>
      <c r="V298" s="23">
        <f t="shared" si="525"/>
        <v>0</v>
      </c>
      <c r="W298" s="23"/>
      <c r="X298" s="23"/>
      <c r="Y298" s="23">
        <f t="shared" si="526"/>
        <v>0</v>
      </c>
      <c r="Z298" s="23"/>
      <c r="AA298" s="23"/>
      <c r="AB298" s="23">
        <f t="shared" si="527"/>
        <v>0</v>
      </c>
      <c r="FN298" s="14"/>
      <c r="FO298" s="14"/>
      <c r="FP298" s="14"/>
      <c r="FQ298" s="14"/>
      <c r="FR298" s="14"/>
      <c r="FS298" s="14"/>
      <c r="FT298" s="14"/>
      <c r="FU298" s="14"/>
      <c r="FV298" s="14"/>
      <c r="FW298" s="14"/>
      <c r="FX298" s="14"/>
      <c r="FY298" s="14"/>
      <c r="FZ298" s="14"/>
      <c r="GA298" s="14"/>
      <c r="GB298" s="14"/>
      <c r="GC298" s="14"/>
      <c r="GD298" s="14"/>
      <c r="GE298" s="14"/>
      <c r="GF298" s="14"/>
      <c r="GG298" s="14"/>
    </row>
    <row r="299" spans="1:189" s="17" customFormat="1" ht="31.5" x14ac:dyDescent="0.25">
      <c r="A299" s="15" t="s">
        <v>111</v>
      </c>
      <c r="B299" s="16">
        <f t="shared" si="518"/>
        <v>997275</v>
      </c>
      <c r="C299" s="16">
        <f t="shared" si="598"/>
        <v>997275</v>
      </c>
      <c r="D299" s="16">
        <f t="shared" si="598"/>
        <v>0</v>
      </c>
      <c r="E299" s="16">
        <f t="shared" ref="E299:AA299" si="627">SUM(E300:E300)</f>
        <v>0</v>
      </c>
      <c r="F299" s="16">
        <f t="shared" si="627"/>
        <v>0</v>
      </c>
      <c r="G299" s="16">
        <f t="shared" si="520"/>
        <v>0</v>
      </c>
      <c r="H299" s="16">
        <f t="shared" si="627"/>
        <v>0</v>
      </c>
      <c r="I299" s="16">
        <f t="shared" si="627"/>
        <v>0</v>
      </c>
      <c r="J299" s="16">
        <f t="shared" si="521"/>
        <v>0</v>
      </c>
      <c r="K299" s="16">
        <f t="shared" si="627"/>
        <v>0</v>
      </c>
      <c r="L299" s="16">
        <f t="shared" si="627"/>
        <v>0</v>
      </c>
      <c r="M299" s="16">
        <f t="shared" si="522"/>
        <v>0</v>
      </c>
      <c r="N299" s="16">
        <f t="shared" si="627"/>
        <v>997275</v>
      </c>
      <c r="O299" s="16">
        <f t="shared" si="627"/>
        <v>997275</v>
      </c>
      <c r="P299" s="16">
        <f t="shared" si="523"/>
        <v>0</v>
      </c>
      <c r="Q299" s="16">
        <f t="shared" si="627"/>
        <v>0</v>
      </c>
      <c r="R299" s="16">
        <f t="shared" si="627"/>
        <v>0</v>
      </c>
      <c r="S299" s="16">
        <f t="shared" si="524"/>
        <v>0</v>
      </c>
      <c r="T299" s="16">
        <f t="shared" si="627"/>
        <v>0</v>
      </c>
      <c r="U299" s="16">
        <f t="shared" si="627"/>
        <v>0</v>
      </c>
      <c r="V299" s="16">
        <f t="shared" si="525"/>
        <v>0</v>
      </c>
      <c r="W299" s="16">
        <f t="shared" si="627"/>
        <v>0</v>
      </c>
      <c r="X299" s="16">
        <f t="shared" si="627"/>
        <v>0</v>
      </c>
      <c r="Y299" s="16">
        <f t="shared" si="526"/>
        <v>0</v>
      </c>
      <c r="Z299" s="16">
        <f t="shared" si="627"/>
        <v>0</v>
      </c>
      <c r="AA299" s="16">
        <f t="shared" si="627"/>
        <v>0</v>
      </c>
      <c r="AB299" s="16">
        <f t="shared" si="527"/>
        <v>0</v>
      </c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14"/>
      <c r="DM299" s="14"/>
      <c r="DN299" s="14"/>
      <c r="DO299" s="14"/>
      <c r="DP299" s="14"/>
      <c r="DQ299" s="14"/>
      <c r="DR299" s="14"/>
      <c r="DS299" s="14"/>
      <c r="DT299" s="14"/>
      <c r="DU299" s="14"/>
      <c r="DV299" s="14"/>
      <c r="DW299" s="14"/>
      <c r="DX299" s="14"/>
      <c r="DY299" s="14"/>
      <c r="DZ299" s="14"/>
      <c r="EA299" s="14"/>
      <c r="EB299" s="14"/>
      <c r="EC299" s="14"/>
      <c r="ED299" s="14"/>
      <c r="EE299" s="14"/>
      <c r="EF299" s="14"/>
      <c r="EG299" s="14"/>
      <c r="EH299" s="14"/>
      <c r="EI299" s="14"/>
      <c r="EJ299" s="14"/>
      <c r="EK299" s="14"/>
      <c r="EL299" s="14"/>
      <c r="EM299" s="14"/>
      <c r="EN299" s="14"/>
      <c r="EO299" s="14"/>
      <c r="EP299" s="14"/>
      <c r="EQ299" s="14"/>
      <c r="ER299" s="14"/>
      <c r="ES299" s="14"/>
      <c r="ET299" s="14"/>
      <c r="EU299" s="14"/>
      <c r="EV299" s="14"/>
      <c r="EW299" s="14"/>
      <c r="EX299" s="14"/>
      <c r="EY299" s="14"/>
      <c r="EZ299" s="14"/>
      <c r="FA299" s="14"/>
      <c r="FB299" s="14"/>
      <c r="FC299" s="14"/>
      <c r="FD299" s="14"/>
      <c r="FE299" s="14"/>
      <c r="FF299" s="14"/>
      <c r="FG299" s="14"/>
      <c r="FH299" s="14"/>
      <c r="FI299" s="14"/>
      <c r="FJ299" s="14"/>
      <c r="FK299" s="14"/>
      <c r="FL299" s="14"/>
      <c r="FM299" s="14"/>
    </row>
    <row r="300" spans="1:189" s="17" customFormat="1" ht="94.5" x14ac:dyDescent="0.25">
      <c r="A300" s="22" t="s">
        <v>200</v>
      </c>
      <c r="B300" s="23">
        <f t="shared" si="518"/>
        <v>997275</v>
      </c>
      <c r="C300" s="23">
        <f t="shared" si="598"/>
        <v>997275</v>
      </c>
      <c r="D300" s="23">
        <f t="shared" si="598"/>
        <v>0</v>
      </c>
      <c r="E300" s="23"/>
      <c r="F300" s="23"/>
      <c r="G300" s="23">
        <f t="shared" si="520"/>
        <v>0</v>
      </c>
      <c r="H300" s="23"/>
      <c r="I300" s="23"/>
      <c r="J300" s="23">
        <f t="shared" si="521"/>
        <v>0</v>
      </c>
      <c r="K300" s="23"/>
      <c r="L300" s="23"/>
      <c r="M300" s="23">
        <f t="shared" si="522"/>
        <v>0</v>
      </c>
      <c r="N300" s="23">
        <v>997275</v>
      </c>
      <c r="O300" s="23">
        <v>997275</v>
      </c>
      <c r="P300" s="23">
        <f t="shared" si="523"/>
        <v>0</v>
      </c>
      <c r="Q300" s="23"/>
      <c r="R300" s="23"/>
      <c r="S300" s="23">
        <f t="shared" si="524"/>
        <v>0</v>
      </c>
      <c r="T300" s="23"/>
      <c r="U300" s="23"/>
      <c r="V300" s="23">
        <f t="shared" si="525"/>
        <v>0</v>
      </c>
      <c r="W300" s="23"/>
      <c r="X300" s="23"/>
      <c r="Y300" s="23">
        <f t="shared" si="526"/>
        <v>0</v>
      </c>
      <c r="Z300" s="23"/>
      <c r="AA300" s="23"/>
      <c r="AB300" s="23">
        <f t="shared" si="527"/>
        <v>0</v>
      </c>
      <c r="FN300" s="14"/>
      <c r="FO300" s="14"/>
      <c r="FP300" s="14"/>
      <c r="FQ300" s="14"/>
      <c r="FR300" s="14"/>
      <c r="FS300" s="14"/>
      <c r="FT300" s="14"/>
      <c r="FU300" s="14"/>
      <c r="FV300" s="14"/>
      <c r="FW300" s="14"/>
      <c r="FX300" s="14"/>
      <c r="FY300" s="14"/>
      <c r="FZ300" s="14"/>
      <c r="GA300" s="14"/>
      <c r="GB300" s="14"/>
      <c r="GC300" s="14"/>
      <c r="GD300" s="14"/>
      <c r="GE300" s="14"/>
      <c r="GF300" s="14"/>
      <c r="GG300" s="14"/>
    </row>
    <row r="301" spans="1:189" s="17" customFormat="1" x14ac:dyDescent="0.25">
      <c r="A301" s="15" t="s">
        <v>117</v>
      </c>
      <c r="B301" s="16">
        <f t="shared" si="518"/>
        <v>700000</v>
      </c>
      <c r="C301" s="16">
        <f t="shared" si="598"/>
        <v>700000</v>
      </c>
      <c r="D301" s="16">
        <f t="shared" si="598"/>
        <v>0</v>
      </c>
      <c r="E301" s="16">
        <f>SUM(E302:E302)</f>
        <v>0</v>
      </c>
      <c r="F301" s="16">
        <f t="shared" ref="F301:AA301" si="628">SUM(F302:F302)</f>
        <v>0</v>
      </c>
      <c r="G301" s="16">
        <f t="shared" si="520"/>
        <v>0</v>
      </c>
      <c r="H301" s="16">
        <f t="shared" si="628"/>
        <v>0</v>
      </c>
      <c r="I301" s="16">
        <f t="shared" si="628"/>
        <v>0</v>
      </c>
      <c r="J301" s="16">
        <f t="shared" si="521"/>
        <v>0</v>
      </c>
      <c r="K301" s="16">
        <f t="shared" si="628"/>
        <v>0</v>
      </c>
      <c r="L301" s="16">
        <f t="shared" si="628"/>
        <v>0</v>
      </c>
      <c r="M301" s="16">
        <f t="shared" si="522"/>
        <v>0</v>
      </c>
      <c r="N301" s="16">
        <f t="shared" si="628"/>
        <v>700000</v>
      </c>
      <c r="O301" s="16">
        <f t="shared" si="628"/>
        <v>700000</v>
      </c>
      <c r="P301" s="16">
        <f t="shared" si="523"/>
        <v>0</v>
      </c>
      <c r="Q301" s="16">
        <f t="shared" si="628"/>
        <v>0</v>
      </c>
      <c r="R301" s="16">
        <f t="shared" si="628"/>
        <v>0</v>
      </c>
      <c r="S301" s="16">
        <f t="shared" si="524"/>
        <v>0</v>
      </c>
      <c r="T301" s="16">
        <f t="shared" si="628"/>
        <v>0</v>
      </c>
      <c r="U301" s="16">
        <f t="shared" si="628"/>
        <v>0</v>
      </c>
      <c r="V301" s="16">
        <f t="shared" si="525"/>
        <v>0</v>
      </c>
      <c r="W301" s="16">
        <f t="shared" si="628"/>
        <v>0</v>
      </c>
      <c r="X301" s="16">
        <f t="shared" si="628"/>
        <v>0</v>
      </c>
      <c r="Y301" s="16">
        <f t="shared" si="526"/>
        <v>0</v>
      </c>
      <c r="Z301" s="16">
        <f t="shared" si="628"/>
        <v>0</v>
      </c>
      <c r="AA301" s="16">
        <f t="shared" si="628"/>
        <v>0</v>
      </c>
      <c r="AB301" s="16">
        <f t="shared" si="527"/>
        <v>0</v>
      </c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14"/>
      <c r="DM301" s="14"/>
      <c r="DN301" s="14"/>
      <c r="DO301" s="14"/>
      <c r="DP301" s="14"/>
      <c r="DQ301" s="14"/>
      <c r="DR301" s="14"/>
      <c r="DS301" s="14"/>
      <c r="DT301" s="14"/>
      <c r="DU301" s="14"/>
      <c r="DV301" s="14"/>
      <c r="DW301" s="14"/>
      <c r="DX301" s="14"/>
      <c r="DY301" s="14"/>
      <c r="DZ301" s="14"/>
      <c r="EA301" s="14"/>
      <c r="EB301" s="14"/>
      <c r="EC301" s="14"/>
      <c r="ED301" s="14"/>
      <c r="EE301" s="14"/>
      <c r="EF301" s="14"/>
      <c r="EG301" s="14"/>
      <c r="EH301" s="14"/>
      <c r="EI301" s="14"/>
      <c r="EJ301" s="14"/>
      <c r="EK301" s="14"/>
      <c r="EL301" s="14"/>
      <c r="EM301" s="14"/>
      <c r="EN301" s="14"/>
      <c r="EO301" s="14"/>
      <c r="EP301" s="14"/>
      <c r="EQ301" s="14"/>
      <c r="ER301" s="14"/>
      <c r="ES301" s="14"/>
      <c r="ET301" s="14"/>
      <c r="EU301" s="14"/>
      <c r="EV301" s="14"/>
      <c r="EW301" s="14"/>
      <c r="EX301" s="14"/>
      <c r="EY301" s="14"/>
      <c r="EZ301" s="14"/>
      <c r="FA301" s="14"/>
      <c r="FB301" s="14"/>
      <c r="FC301" s="14"/>
      <c r="FD301" s="14"/>
      <c r="FE301" s="14"/>
      <c r="FF301" s="14"/>
      <c r="FG301" s="14"/>
      <c r="FH301" s="14"/>
      <c r="FI301" s="14"/>
      <c r="FJ301" s="14"/>
      <c r="FK301" s="14"/>
      <c r="FL301" s="14"/>
      <c r="FM301" s="14"/>
      <c r="FN301" s="14"/>
      <c r="FO301" s="14"/>
      <c r="FP301" s="14"/>
      <c r="FQ301" s="14"/>
      <c r="FR301" s="14"/>
      <c r="FS301" s="14"/>
      <c r="FT301" s="14"/>
      <c r="FU301" s="14"/>
      <c r="FV301" s="14"/>
      <c r="FW301" s="14"/>
      <c r="FX301" s="14"/>
      <c r="FY301" s="14"/>
      <c r="FZ301" s="14"/>
      <c r="GA301" s="14"/>
      <c r="GB301" s="14"/>
      <c r="GC301" s="14"/>
      <c r="GD301" s="14"/>
      <c r="GE301" s="14"/>
      <c r="GF301" s="14"/>
      <c r="GG301" s="14"/>
    </row>
    <row r="302" spans="1:189" s="17" customFormat="1" ht="94.5" x14ac:dyDescent="0.25">
      <c r="A302" s="22" t="s">
        <v>201</v>
      </c>
      <c r="B302" s="23">
        <f t="shared" si="518"/>
        <v>700000</v>
      </c>
      <c r="C302" s="23">
        <f t="shared" si="598"/>
        <v>700000</v>
      </c>
      <c r="D302" s="23">
        <f t="shared" si="598"/>
        <v>0</v>
      </c>
      <c r="E302" s="23"/>
      <c r="F302" s="23"/>
      <c r="G302" s="23">
        <f t="shared" si="520"/>
        <v>0</v>
      </c>
      <c r="H302" s="23"/>
      <c r="I302" s="23"/>
      <c r="J302" s="23">
        <f t="shared" si="521"/>
        <v>0</v>
      </c>
      <c r="K302" s="23"/>
      <c r="L302" s="23"/>
      <c r="M302" s="23">
        <f t="shared" si="522"/>
        <v>0</v>
      </c>
      <c r="N302" s="23">
        <v>700000</v>
      </c>
      <c r="O302" s="23">
        <v>700000</v>
      </c>
      <c r="P302" s="23">
        <f t="shared" si="523"/>
        <v>0</v>
      </c>
      <c r="Q302" s="23"/>
      <c r="R302" s="23"/>
      <c r="S302" s="23">
        <f t="shared" si="524"/>
        <v>0</v>
      </c>
      <c r="T302" s="23"/>
      <c r="U302" s="23"/>
      <c r="V302" s="23">
        <f t="shared" si="525"/>
        <v>0</v>
      </c>
      <c r="W302" s="23"/>
      <c r="X302" s="23"/>
      <c r="Y302" s="23">
        <f t="shared" si="526"/>
        <v>0</v>
      </c>
      <c r="Z302" s="23"/>
      <c r="AA302" s="23"/>
      <c r="AB302" s="23">
        <f t="shared" si="527"/>
        <v>0</v>
      </c>
      <c r="FN302" s="14"/>
      <c r="FO302" s="14"/>
      <c r="FP302" s="14"/>
      <c r="FQ302" s="14"/>
      <c r="FR302" s="14"/>
      <c r="FS302" s="14"/>
      <c r="FT302" s="14"/>
      <c r="FU302" s="14"/>
      <c r="FV302" s="14"/>
      <c r="FW302" s="14"/>
      <c r="FX302" s="14"/>
      <c r="FY302" s="14"/>
      <c r="FZ302" s="14"/>
      <c r="GA302" s="14"/>
      <c r="GB302" s="14"/>
      <c r="GC302" s="14"/>
      <c r="GD302" s="14"/>
      <c r="GE302" s="14"/>
      <c r="GF302" s="14"/>
      <c r="GG302" s="14"/>
    </row>
    <row r="303" spans="1:189" s="17" customFormat="1" x14ac:dyDescent="0.25">
      <c r="A303" s="15" t="s">
        <v>155</v>
      </c>
      <c r="B303" s="16">
        <f t="shared" si="518"/>
        <v>700000</v>
      </c>
      <c r="C303" s="16">
        <f t="shared" si="598"/>
        <v>700000</v>
      </c>
      <c r="D303" s="16">
        <f t="shared" si="598"/>
        <v>0</v>
      </c>
      <c r="E303" s="16">
        <f t="shared" ref="E303:AA303" si="629">SUM(E304:E304)</f>
        <v>0</v>
      </c>
      <c r="F303" s="16">
        <f t="shared" si="629"/>
        <v>0</v>
      </c>
      <c r="G303" s="16">
        <f t="shared" si="520"/>
        <v>0</v>
      </c>
      <c r="H303" s="16">
        <f t="shared" si="629"/>
        <v>0</v>
      </c>
      <c r="I303" s="16">
        <f t="shared" si="629"/>
        <v>0</v>
      </c>
      <c r="J303" s="16">
        <f t="shared" si="521"/>
        <v>0</v>
      </c>
      <c r="K303" s="16">
        <f t="shared" si="629"/>
        <v>0</v>
      </c>
      <c r="L303" s="16">
        <f t="shared" si="629"/>
        <v>0</v>
      </c>
      <c r="M303" s="16">
        <f t="shared" si="522"/>
        <v>0</v>
      </c>
      <c r="N303" s="16">
        <f t="shared" si="629"/>
        <v>700000</v>
      </c>
      <c r="O303" s="16">
        <f t="shared" si="629"/>
        <v>700000</v>
      </c>
      <c r="P303" s="16">
        <f t="shared" si="523"/>
        <v>0</v>
      </c>
      <c r="Q303" s="16">
        <f t="shared" si="629"/>
        <v>0</v>
      </c>
      <c r="R303" s="16">
        <f t="shared" si="629"/>
        <v>0</v>
      </c>
      <c r="S303" s="16">
        <f t="shared" si="524"/>
        <v>0</v>
      </c>
      <c r="T303" s="16">
        <f t="shared" si="629"/>
        <v>0</v>
      </c>
      <c r="U303" s="16">
        <f t="shared" si="629"/>
        <v>0</v>
      </c>
      <c r="V303" s="16">
        <f t="shared" si="525"/>
        <v>0</v>
      </c>
      <c r="W303" s="16">
        <f t="shared" si="629"/>
        <v>0</v>
      </c>
      <c r="X303" s="16">
        <f t="shared" si="629"/>
        <v>0</v>
      </c>
      <c r="Y303" s="16">
        <f t="shared" si="526"/>
        <v>0</v>
      </c>
      <c r="Z303" s="16">
        <f t="shared" si="629"/>
        <v>0</v>
      </c>
      <c r="AA303" s="16">
        <f t="shared" si="629"/>
        <v>0</v>
      </c>
      <c r="AB303" s="16">
        <f t="shared" si="527"/>
        <v>0</v>
      </c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14"/>
      <c r="DM303" s="14"/>
      <c r="DN303" s="14"/>
      <c r="DO303" s="14"/>
      <c r="DP303" s="14"/>
      <c r="DQ303" s="14"/>
      <c r="DR303" s="14"/>
      <c r="DS303" s="14"/>
      <c r="DT303" s="14"/>
      <c r="DU303" s="14"/>
      <c r="DV303" s="14"/>
      <c r="DW303" s="14"/>
      <c r="DX303" s="14"/>
      <c r="DY303" s="14"/>
      <c r="DZ303" s="14"/>
      <c r="EA303" s="14"/>
      <c r="EB303" s="14"/>
      <c r="EC303" s="14"/>
      <c r="ED303" s="14"/>
      <c r="EE303" s="14"/>
      <c r="EF303" s="14"/>
      <c r="EG303" s="14"/>
      <c r="EH303" s="14"/>
      <c r="EI303" s="14"/>
      <c r="EJ303" s="14"/>
      <c r="EK303" s="14"/>
      <c r="EL303" s="14"/>
      <c r="EM303" s="14"/>
      <c r="EN303" s="14"/>
      <c r="EO303" s="14"/>
      <c r="EP303" s="14"/>
      <c r="EQ303" s="14"/>
      <c r="ER303" s="14"/>
      <c r="ES303" s="14"/>
      <c r="ET303" s="14"/>
      <c r="EU303" s="14"/>
      <c r="EV303" s="14"/>
      <c r="EW303" s="14"/>
      <c r="EX303" s="14"/>
      <c r="EY303" s="14"/>
      <c r="EZ303" s="14"/>
      <c r="FA303" s="14"/>
      <c r="FB303" s="14"/>
      <c r="FC303" s="14"/>
      <c r="FD303" s="14"/>
      <c r="FE303" s="14"/>
      <c r="FF303" s="14"/>
      <c r="FG303" s="14"/>
      <c r="FH303" s="14"/>
      <c r="FI303" s="14"/>
      <c r="FJ303" s="14"/>
      <c r="FK303" s="14"/>
      <c r="FL303" s="14"/>
      <c r="FM303" s="14"/>
      <c r="FN303" s="14"/>
      <c r="FO303" s="14"/>
      <c r="FP303" s="14"/>
      <c r="FQ303" s="14"/>
      <c r="FR303" s="14"/>
      <c r="FS303" s="14"/>
      <c r="FT303" s="14"/>
      <c r="FU303" s="14"/>
      <c r="FV303" s="14"/>
      <c r="FW303" s="14"/>
      <c r="FX303" s="14"/>
      <c r="FY303" s="14"/>
      <c r="FZ303" s="14"/>
      <c r="GA303" s="14"/>
      <c r="GB303" s="14"/>
      <c r="GC303" s="14"/>
      <c r="GD303" s="14"/>
      <c r="GE303" s="14"/>
      <c r="GF303" s="14"/>
      <c r="GG303" s="14"/>
    </row>
    <row r="304" spans="1:189" s="17" customFormat="1" ht="78.75" x14ac:dyDescent="0.25">
      <c r="A304" s="22" t="s">
        <v>202</v>
      </c>
      <c r="B304" s="23">
        <f t="shared" si="518"/>
        <v>700000</v>
      </c>
      <c r="C304" s="23">
        <f t="shared" si="598"/>
        <v>700000</v>
      </c>
      <c r="D304" s="23">
        <f t="shared" si="598"/>
        <v>0</v>
      </c>
      <c r="E304" s="23"/>
      <c r="F304" s="23"/>
      <c r="G304" s="23">
        <f t="shared" si="520"/>
        <v>0</v>
      </c>
      <c r="H304" s="23"/>
      <c r="I304" s="23"/>
      <c r="J304" s="23">
        <f t="shared" si="521"/>
        <v>0</v>
      </c>
      <c r="K304" s="23"/>
      <c r="L304" s="23"/>
      <c r="M304" s="23">
        <f t="shared" si="522"/>
        <v>0</v>
      </c>
      <c r="N304" s="23">
        <v>700000</v>
      </c>
      <c r="O304" s="23">
        <v>700000</v>
      </c>
      <c r="P304" s="23">
        <f t="shared" si="523"/>
        <v>0</v>
      </c>
      <c r="Q304" s="23"/>
      <c r="R304" s="23"/>
      <c r="S304" s="23">
        <f t="shared" si="524"/>
        <v>0</v>
      </c>
      <c r="T304" s="23"/>
      <c r="U304" s="23"/>
      <c r="V304" s="23">
        <f t="shared" si="525"/>
        <v>0</v>
      </c>
      <c r="W304" s="23"/>
      <c r="X304" s="23"/>
      <c r="Y304" s="23">
        <f t="shared" si="526"/>
        <v>0</v>
      </c>
      <c r="Z304" s="23"/>
      <c r="AA304" s="23"/>
      <c r="AB304" s="23">
        <f t="shared" si="527"/>
        <v>0</v>
      </c>
      <c r="FN304" s="14"/>
      <c r="FO304" s="14"/>
      <c r="FP304" s="14"/>
      <c r="FQ304" s="14"/>
      <c r="FR304" s="14"/>
      <c r="FS304" s="14"/>
      <c r="FT304" s="14"/>
      <c r="FU304" s="14"/>
      <c r="FV304" s="14"/>
      <c r="FW304" s="14"/>
      <c r="FX304" s="14"/>
      <c r="FY304" s="14"/>
      <c r="FZ304" s="14"/>
      <c r="GA304" s="14"/>
      <c r="GB304" s="14"/>
      <c r="GC304" s="14"/>
      <c r="GD304" s="14"/>
      <c r="GE304" s="14"/>
      <c r="GF304" s="14"/>
      <c r="GG304" s="14"/>
    </row>
    <row r="305" spans="1:189" s="14" customFormat="1" x14ac:dyDescent="0.25">
      <c r="A305" s="15" t="s">
        <v>203</v>
      </c>
      <c r="B305" s="16">
        <f t="shared" si="518"/>
        <v>107940</v>
      </c>
      <c r="C305" s="16">
        <f t="shared" si="598"/>
        <v>119940</v>
      </c>
      <c r="D305" s="16">
        <f t="shared" si="598"/>
        <v>12000</v>
      </c>
      <c r="E305" s="16">
        <f>SUM(E306,E311)</f>
        <v>0</v>
      </c>
      <c r="F305" s="16">
        <f>SUM(F306,F311)</f>
        <v>0</v>
      </c>
      <c r="G305" s="16">
        <f t="shared" si="520"/>
        <v>0</v>
      </c>
      <c r="H305" s="16">
        <f>SUM(H306,H311)</f>
        <v>0</v>
      </c>
      <c r="I305" s="16">
        <f>SUM(I306,I311)</f>
        <v>0</v>
      </c>
      <c r="J305" s="16">
        <f t="shared" si="521"/>
        <v>0</v>
      </c>
      <c r="K305" s="16">
        <f>SUM(K306,K311)</f>
        <v>87000</v>
      </c>
      <c r="L305" s="16">
        <f>SUM(L306,L311)</f>
        <v>87000</v>
      </c>
      <c r="M305" s="16">
        <f t="shared" si="522"/>
        <v>0</v>
      </c>
      <c r="N305" s="16">
        <f>SUM(N306,N311)</f>
        <v>0</v>
      </c>
      <c r="O305" s="16">
        <f>SUM(O306,O311)</f>
        <v>0</v>
      </c>
      <c r="P305" s="16">
        <f t="shared" si="523"/>
        <v>0</v>
      </c>
      <c r="Q305" s="16">
        <f>SUM(Q306,Q311)</f>
        <v>0</v>
      </c>
      <c r="R305" s="16">
        <f>SUM(R306,R311)</f>
        <v>12000</v>
      </c>
      <c r="S305" s="16">
        <f t="shared" si="524"/>
        <v>12000</v>
      </c>
      <c r="T305" s="16">
        <f>SUM(T306,T311)</f>
        <v>0</v>
      </c>
      <c r="U305" s="16">
        <f>SUM(U306,U311)</f>
        <v>0</v>
      </c>
      <c r="V305" s="16">
        <f t="shared" si="525"/>
        <v>0</v>
      </c>
      <c r="W305" s="16">
        <f>SUM(W306,W311)</f>
        <v>0</v>
      </c>
      <c r="X305" s="16">
        <f>SUM(X306,X311)</f>
        <v>0</v>
      </c>
      <c r="Y305" s="16">
        <f t="shared" si="526"/>
        <v>0</v>
      </c>
      <c r="Z305" s="16">
        <f>SUM(Z306,Z311)</f>
        <v>20940</v>
      </c>
      <c r="AA305" s="16">
        <f>SUM(AA306,AA311)</f>
        <v>20940</v>
      </c>
      <c r="AB305" s="16">
        <f t="shared" si="527"/>
        <v>0</v>
      </c>
      <c r="FN305" s="17"/>
      <c r="FO305" s="17"/>
      <c r="FP305" s="17"/>
      <c r="FQ305" s="17"/>
      <c r="FR305" s="17"/>
      <c r="FS305" s="17"/>
      <c r="FT305" s="17"/>
      <c r="FU305" s="17"/>
      <c r="FV305" s="17"/>
      <c r="FW305" s="17"/>
      <c r="FX305" s="17"/>
      <c r="FY305" s="17"/>
      <c r="FZ305" s="17"/>
      <c r="GA305" s="17"/>
      <c r="GB305" s="17"/>
      <c r="GC305" s="17"/>
      <c r="GD305" s="17"/>
      <c r="GE305" s="17"/>
      <c r="GF305" s="17"/>
      <c r="GG305" s="17"/>
    </row>
    <row r="306" spans="1:189" s="17" customFormat="1" x14ac:dyDescent="0.25">
      <c r="A306" s="15" t="s">
        <v>12</v>
      </c>
      <c r="B306" s="16">
        <f t="shared" si="518"/>
        <v>107940</v>
      </c>
      <c r="C306" s="16">
        <f t="shared" ref="C306:D326" si="630">F306+I306+L306+O306+R306+U306+AA306</f>
        <v>107940</v>
      </c>
      <c r="D306" s="16">
        <f t="shared" si="630"/>
        <v>0</v>
      </c>
      <c r="E306" s="16">
        <f>SUM(E307)</f>
        <v>0</v>
      </c>
      <c r="F306" s="16">
        <f>SUM(F307)</f>
        <v>0</v>
      </c>
      <c r="G306" s="16">
        <f t="shared" si="520"/>
        <v>0</v>
      </c>
      <c r="H306" s="16">
        <f t="shared" ref="H306:AA306" si="631">SUM(H307)</f>
        <v>0</v>
      </c>
      <c r="I306" s="16">
        <f t="shared" si="631"/>
        <v>0</v>
      </c>
      <c r="J306" s="16">
        <f t="shared" si="521"/>
        <v>0</v>
      </c>
      <c r="K306" s="16">
        <f t="shared" si="631"/>
        <v>87000</v>
      </c>
      <c r="L306" s="16">
        <f t="shared" si="631"/>
        <v>87000</v>
      </c>
      <c r="M306" s="16">
        <f t="shared" si="522"/>
        <v>0</v>
      </c>
      <c r="N306" s="16">
        <f t="shared" si="631"/>
        <v>0</v>
      </c>
      <c r="O306" s="16">
        <f t="shared" si="631"/>
        <v>0</v>
      </c>
      <c r="P306" s="16">
        <f t="shared" si="523"/>
        <v>0</v>
      </c>
      <c r="Q306" s="16">
        <f t="shared" si="631"/>
        <v>0</v>
      </c>
      <c r="R306" s="16">
        <f t="shared" si="631"/>
        <v>0</v>
      </c>
      <c r="S306" s="16">
        <f t="shared" si="524"/>
        <v>0</v>
      </c>
      <c r="T306" s="16">
        <f t="shared" si="631"/>
        <v>0</v>
      </c>
      <c r="U306" s="16">
        <f t="shared" si="631"/>
        <v>0</v>
      </c>
      <c r="V306" s="16">
        <f t="shared" si="525"/>
        <v>0</v>
      </c>
      <c r="W306" s="16">
        <f t="shared" si="631"/>
        <v>0</v>
      </c>
      <c r="X306" s="16">
        <f t="shared" si="631"/>
        <v>0</v>
      </c>
      <c r="Y306" s="16">
        <f t="shared" si="526"/>
        <v>0</v>
      </c>
      <c r="Z306" s="16">
        <f t="shared" si="631"/>
        <v>20940</v>
      </c>
      <c r="AA306" s="16">
        <f t="shared" si="631"/>
        <v>20940</v>
      </c>
      <c r="AB306" s="16">
        <f t="shared" si="527"/>
        <v>0</v>
      </c>
    </row>
    <row r="307" spans="1:189" s="17" customFormat="1" ht="31.5" x14ac:dyDescent="0.25">
      <c r="A307" s="15" t="s">
        <v>204</v>
      </c>
      <c r="B307" s="16">
        <f t="shared" si="518"/>
        <v>107940</v>
      </c>
      <c r="C307" s="16">
        <f t="shared" si="630"/>
        <v>107940</v>
      </c>
      <c r="D307" s="16">
        <f t="shared" si="630"/>
        <v>0</v>
      </c>
      <c r="E307" s="16">
        <f t="shared" ref="E307:Z307" si="632">SUM(E308:E310)</f>
        <v>0</v>
      </c>
      <c r="F307" s="16">
        <f t="shared" ref="F307" si="633">SUM(F308:F310)</f>
        <v>0</v>
      </c>
      <c r="G307" s="16">
        <f t="shared" si="520"/>
        <v>0</v>
      </c>
      <c r="H307" s="16">
        <f t="shared" si="632"/>
        <v>0</v>
      </c>
      <c r="I307" s="16">
        <f t="shared" ref="I307" si="634">SUM(I308:I310)</f>
        <v>0</v>
      </c>
      <c r="J307" s="16">
        <f t="shared" si="521"/>
        <v>0</v>
      </c>
      <c r="K307" s="16">
        <f t="shared" si="632"/>
        <v>87000</v>
      </c>
      <c r="L307" s="16">
        <f t="shared" ref="L307" si="635">SUM(L308:L310)</f>
        <v>87000</v>
      </c>
      <c r="M307" s="16">
        <f t="shared" si="522"/>
        <v>0</v>
      </c>
      <c r="N307" s="16">
        <f t="shared" si="632"/>
        <v>0</v>
      </c>
      <c r="O307" s="16">
        <f t="shared" ref="O307" si="636">SUM(O308:O310)</f>
        <v>0</v>
      </c>
      <c r="P307" s="16">
        <f t="shared" si="523"/>
        <v>0</v>
      </c>
      <c r="Q307" s="16">
        <f t="shared" si="632"/>
        <v>0</v>
      </c>
      <c r="R307" s="16">
        <f t="shared" ref="R307" si="637">SUM(R308:R310)</f>
        <v>0</v>
      </c>
      <c r="S307" s="16">
        <f t="shared" si="524"/>
        <v>0</v>
      </c>
      <c r="T307" s="16">
        <f t="shared" si="632"/>
        <v>0</v>
      </c>
      <c r="U307" s="16">
        <f t="shared" ref="U307" si="638">SUM(U308:U310)</f>
        <v>0</v>
      </c>
      <c r="V307" s="16">
        <f t="shared" si="525"/>
        <v>0</v>
      </c>
      <c r="W307" s="16">
        <f t="shared" ref="W307" si="639">SUM(W308:W310)</f>
        <v>0</v>
      </c>
      <c r="X307" s="16">
        <f t="shared" ref="X307" si="640">SUM(X308:X310)</f>
        <v>0</v>
      </c>
      <c r="Y307" s="16">
        <f t="shared" si="526"/>
        <v>0</v>
      </c>
      <c r="Z307" s="16">
        <f t="shared" si="632"/>
        <v>20940</v>
      </c>
      <c r="AA307" s="16">
        <f t="shared" ref="AA307" si="641">SUM(AA308:AA310)</f>
        <v>20940</v>
      </c>
      <c r="AB307" s="16">
        <f t="shared" si="527"/>
        <v>0</v>
      </c>
    </row>
    <row r="308" spans="1:189" s="17" customFormat="1" ht="78.75" x14ac:dyDescent="0.25">
      <c r="A308" s="30" t="s">
        <v>205</v>
      </c>
      <c r="B308" s="20">
        <f t="shared" si="518"/>
        <v>35940</v>
      </c>
      <c r="C308" s="20">
        <f t="shared" si="630"/>
        <v>35940</v>
      </c>
      <c r="D308" s="20">
        <f t="shared" si="630"/>
        <v>0</v>
      </c>
      <c r="E308" s="20"/>
      <c r="F308" s="20"/>
      <c r="G308" s="20">
        <f t="shared" si="520"/>
        <v>0</v>
      </c>
      <c r="H308" s="20"/>
      <c r="I308" s="20"/>
      <c r="J308" s="20">
        <f t="shared" si="521"/>
        <v>0</v>
      </c>
      <c r="K308" s="20">
        <v>15000</v>
      </c>
      <c r="L308" s="20">
        <v>15000</v>
      </c>
      <c r="M308" s="20">
        <f t="shared" si="522"/>
        <v>0</v>
      </c>
      <c r="N308" s="20"/>
      <c r="O308" s="20"/>
      <c r="P308" s="20">
        <f t="shared" si="523"/>
        <v>0</v>
      </c>
      <c r="Q308" s="20">
        <v>0</v>
      </c>
      <c r="R308" s="20">
        <v>0</v>
      </c>
      <c r="S308" s="20">
        <f t="shared" si="524"/>
        <v>0</v>
      </c>
      <c r="T308" s="20"/>
      <c r="U308" s="20"/>
      <c r="V308" s="20">
        <f t="shared" si="525"/>
        <v>0</v>
      </c>
      <c r="W308" s="20"/>
      <c r="X308" s="20"/>
      <c r="Y308" s="20">
        <f t="shared" si="526"/>
        <v>0</v>
      </c>
      <c r="Z308" s="20">
        <v>20940</v>
      </c>
      <c r="AA308" s="20">
        <v>20940</v>
      </c>
      <c r="AB308" s="20">
        <f t="shared" si="527"/>
        <v>0</v>
      </c>
    </row>
    <row r="309" spans="1:189" s="17" customFormat="1" ht="31.5" x14ac:dyDescent="0.25">
      <c r="A309" s="30" t="s">
        <v>206</v>
      </c>
      <c r="B309" s="20">
        <f t="shared" si="518"/>
        <v>36000</v>
      </c>
      <c r="C309" s="20">
        <f t="shared" si="630"/>
        <v>36000</v>
      </c>
      <c r="D309" s="20">
        <f t="shared" si="630"/>
        <v>0</v>
      </c>
      <c r="E309" s="20"/>
      <c r="F309" s="20"/>
      <c r="G309" s="20">
        <f t="shared" si="520"/>
        <v>0</v>
      </c>
      <c r="H309" s="20"/>
      <c r="I309" s="20"/>
      <c r="J309" s="20">
        <f t="shared" si="521"/>
        <v>0</v>
      </c>
      <c r="K309" s="20">
        <v>36000</v>
      </c>
      <c r="L309" s="20">
        <v>36000</v>
      </c>
      <c r="M309" s="20">
        <f t="shared" si="522"/>
        <v>0</v>
      </c>
      <c r="N309" s="20"/>
      <c r="O309" s="20"/>
      <c r="P309" s="20">
        <f t="shared" si="523"/>
        <v>0</v>
      </c>
      <c r="Q309" s="20">
        <v>0</v>
      </c>
      <c r="R309" s="20">
        <v>0</v>
      </c>
      <c r="S309" s="20">
        <f t="shared" si="524"/>
        <v>0</v>
      </c>
      <c r="T309" s="20"/>
      <c r="U309" s="20"/>
      <c r="V309" s="20">
        <f t="shared" si="525"/>
        <v>0</v>
      </c>
      <c r="W309" s="20"/>
      <c r="X309" s="20"/>
      <c r="Y309" s="20">
        <f t="shared" si="526"/>
        <v>0</v>
      </c>
      <c r="Z309" s="20"/>
      <c r="AA309" s="20"/>
      <c r="AB309" s="20">
        <f t="shared" si="527"/>
        <v>0</v>
      </c>
    </row>
    <row r="310" spans="1:189" s="17" customFormat="1" x14ac:dyDescent="0.25">
      <c r="A310" s="25" t="s">
        <v>207</v>
      </c>
      <c r="B310" s="23">
        <f t="shared" si="518"/>
        <v>36000</v>
      </c>
      <c r="C310" s="23">
        <f t="shared" si="630"/>
        <v>36000</v>
      </c>
      <c r="D310" s="23">
        <f t="shared" si="630"/>
        <v>0</v>
      </c>
      <c r="E310" s="23"/>
      <c r="F310" s="23"/>
      <c r="G310" s="23">
        <f t="shared" si="520"/>
        <v>0</v>
      </c>
      <c r="H310" s="23"/>
      <c r="I310" s="23"/>
      <c r="J310" s="23">
        <f t="shared" si="521"/>
        <v>0</v>
      </c>
      <c r="K310" s="23">
        <v>36000</v>
      </c>
      <c r="L310" s="23">
        <v>36000</v>
      </c>
      <c r="M310" s="23">
        <f t="shared" si="522"/>
        <v>0</v>
      </c>
      <c r="N310" s="23"/>
      <c r="O310" s="23"/>
      <c r="P310" s="23">
        <f t="shared" si="523"/>
        <v>0</v>
      </c>
      <c r="Q310" s="23">
        <v>0</v>
      </c>
      <c r="R310" s="23">
        <v>0</v>
      </c>
      <c r="S310" s="23">
        <f t="shared" si="524"/>
        <v>0</v>
      </c>
      <c r="T310" s="23"/>
      <c r="U310" s="23"/>
      <c r="V310" s="23">
        <f t="shared" si="525"/>
        <v>0</v>
      </c>
      <c r="W310" s="23"/>
      <c r="X310" s="23"/>
      <c r="Y310" s="23">
        <f t="shared" si="526"/>
        <v>0</v>
      </c>
      <c r="Z310" s="23"/>
      <c r="AA310" s="23"/>
      <c r="AB310" s="23">
        <f t="shared" si="527"/>
        <v>0</v>
      </c>
    </row>
    <row r="311" spans="1:189" s="17" customFormat="1" x14ac:dyDescent="0.25">
      <c r="A311" s="15" t="s">
        <v>32</v>
      </c>
      <c r="B311" s="16">
        <f t="shared" ref="B311:B312" si="642">E311+H311+K311+N311+Q311+T311+Z311</f>
        <v>0</v>
      </c>
      <c r="C311" s="16">
        <f t="shared" ref="C311:C312" si="643">F311+I311+L311+O311+R311+U311+AA311</f>
        <v>12000</v>
      </c>
      <c r="D311" s="16">
        <f>G311+J311+M311+P311+S311+V311+AB311</f>
        <v>12000</v>
      </c>
      <c r="E311" s="16">
        <f>SUM(E312)</f>
        <v>0</v>
      </c>
      <c r="F311" s="16">
        <f>SUM(F312)</f>
        <v>0</v>
      </c>
      <c r="G311" s="16">
        <f t="shared" ref="G311:G312" si="644">F311-E311</f>
        <v>0</v>
      </c>
      <c r="H311" s="16">
        <f t="shared" ref="H311:I311" si="645">SUM(H312)</f>
        <v>0</v>
      </c>
      <c r="I311" s="16">
        <f t="shared" si="645"/>
        <v>0</v>
      </c>
      <c r="J311" s="16">
        <f t="shared" si="521"/>
        <v>0</v>
      </c>
      <c r="K311" s="16">
        <f t="shared" ref="K311:L311" si="646">SUM(K312)</f>
        <v>0</v>
      </c>
      <c r="L311" s="16">
        <f t="shared" si="646"/>
        <v>0</v>
      </c>
      <c r="M311" s="16">
        <f t="shared" si="522"/>
        <v>0</v>
      </c>
      <c r="N311" s="16">
        <f t="shared" ref="N311:O311" si="647">SUM(N312)</f>
        <v>0</v>
      </c>
      <c r="O311" s="16">
        <f t="shared" si="647"/>
        <v>0</v>
      </c>
      <c r="P311" s="16">
        <f t="shared" si="523"/>
        <v>0</v>
      </c>
      <c r="Q311" s="16">
        <f t="shared" ref="Q311:R311" si="648">SUM(Q312)</f>
        <v>0</v>
      </c>
      <c r="R311" s="16">
        <f t="shared" si="648"/>
        <v>12000</v>
      </c>
      <c r="S311" s="16">
        <f t="shared" si="524"/>
        <v>12000</v>
      </c>
      <c r="T311" s="16">
        <f t="shared" ref="T311:U311" si="649">SUM(T312)</f>
        <v>0</v>
      </c>
      <c r="U311" s="16">
        <f t="shared" si="649"/>
        <v>0</v>
      </c>
      <c r="V311" s="16">
        <f t="shared" si="525"/>
        <v>0</v>
      </c>
      <c r="W311" s="16">
        <f t="shared" ref="W311:X311" si="650">SUM(W312)</f>
        <v>0</v>
      </c>
      <c r="X311" s="16">
        <f t="shared" si="650"/>
        <v>0</v>
      </c>
      <c r="Y311" s="16">
        <f t="shared" si="526"/>
        <v>0</v>
      </c>
      <c r="Z311" s="16">
        <f t="shared" ref="Z311:AA311" si="651">SUM(Z312)</f>
        <v>0</v>
      </c>
      <c r="AA311" s="16">
        <f t="shared" si="651"/>
        <v>0</v>
      </c>
      <c r="AB311" s="16">
        <f t="shared" si="527"/>
        <v>0</v>
      </c>
    </row>
    <row r="312" spans="1:189" s="17" customFormat="1" ht="31.5" x14ac:dyDescent="0.25">
      <c r="A312" s="15" t="s">
        <v>204</v>
      </c>
      <c r="B312" s="16">
        <f t="shared" si="642"/>
        <v>0</v>
      </c>
      <c r="C312" s="16">
        <f t="shared" si="643"/>
        <v>12000</v>
      </c>
      <c r="D312" s="16">
        <f t="shared" ref="D312" si="652">G312+J312+M312+P312+S312+V312+AB312</f>
        <v>12000</v>
      </c>
      <c r="E312" s="16">
        <f>SUM(E313:E314)</f>
        <v>0</v>
      </c>
      <c r="F312" s="16">
        <f>SUM(F313:F314)</f>
        <v>0</v>
      </c>
      <c r="G312" s="16">
        <f t="shared" si="644"/>
        <v>0</v>
      </c>
      <c r="H312" s="16">
        <f t="shared" ref="H312:I312" si="653">SUM(H313:H314)</f>
        <v>0</v>
      </c>
      <c r="I312" s="16">
        <f t="shared" si="653"/>
        <v>0</v>
      </c>
      <c r="J312" s="16">
        <f t="shared" ref="J312" si="654">I312-H312</f>
        <v>0</v>
      </c>
      <c r="K312" s="16">
        <f t="shared" ref="K312:L312" si="655">SUM(K313:K314)</f>
        <v>0</v>
      </c>
      <c r="L312" s="16">
        <f t="shared" si="655"/>
        <v>0</v>
      </c>
      <c r="M312" s="16">
        <f t="shared" ref="M312" si="656">L312-K312</f>
        <v>0</v>
      </c>
      <c r="N312" s="16">
        <f t="shared" ref="N312:O312" si="657">SUM(N313:N314)</f>
        <v>0</v>
      </c>
      <c r="O312" s="16">
        <f t="shared" si="657"/>
        <v>0</v>
      </c>
      <c r="P312" s="16">
        <f t="shared" ref="P312" si="658">O312-N312</f>
        <v>0</v>
      </c>
      <c r="Q312" s="16">
        <f t="shared" ref="Q312:R312" si="659">SUM(Q313:Q314)</f>
        <v>0</v>
      </c>
      <c r="R312" s="16">
        <f t="shared" si="659"/>
        <v>12000</v>
      </c>
      <c r="S312" s="16">
        <f t="shared" ref="S312" si="660">R312-Q312</f>
        <v>12000</v>
      </c>
      <c r="T312" s="16">
        <f t="shared" ref="T312:U312" si="661">SUM(T313:T314)</f>
        <v>0</v>
      </c>
      <c r="U312" s="16">
        <f t="shared" si="661"/>
        <v>0</v>
      </c>
      <c r="V312" s="16">
        <f t="shared" ref="V312" si="662">U312-T312</f>
        <v>0</v>
      </c>
      <c r="W312" s="16">
        <f t="shared" ref="W312:X312" si="663">SUM(W313:W314)</f>
        <v>0</v>
      </c>
      <c r="X312" s="16">
        <f t="shared" si="663"/>
        <v>0</v>
      </c>
      <c r="Y312" s="16">
        <f t="shared" ref="Y312" si="664">X312-W312</f>
        <v>0</v>
      </c>
      <c r="Z312" s="16">
        <f t="shared" ref="Z312:AA312" si="665">SUM(Z313:Z314)</f>
        <v>0</v>
      </c>
      <c r="AA312" s="16">
        <f t="shared" si="665"/>
        <v>0</v>
      </c>
      <c r="AB312" s="16">
        <f t="shared" ref="AB312" si="666">AA312-Z312</f>
        <v>0</v>
      </c>
    </row>
    <row r="313" spans="1:189" s="17" customFormat="1" ht="47.25" x14ac:dyDescent="0.25">
      <c r="A313" s="22" t="s">
        <v>267</v>
      </c>
      <c r="B313" s="23">
        <f t="shared" si="518"/>
        <v>0</v>
      </c>
      <c r="C313" s="23">
        <f t="shared" si="630"/>
        <v>1940</v>
      </c>
      <c r="D313" s="23">
        <f t="shared" si="630"/>
        <v>1940</v>
      </c>
      <c r="E313" s="23"/>
      <c r="F313" s="23"/>
      <c r="G313" s="23">
        <f t="shared" si="520"/>
        <v>0</v>
      </c>
      <c r="H313" s="23"/>
      <c r="I313" s="23"/>
      <c r="J313" s="23">
        <f t="shared" si="521"/>
        <v>0</v>
      </c>
      <c r="K313" s="23"/>
      <c r="L313" s="23"/>
      <c r="M313" s="23">
        <f t="shared" si="522"/>
        <v>0</v>
      </c>
      <c r="N313" s="23"/>
      <c r="O313" s="23"/>
      <c r="P313" s="23">
        <f t="shared" si="523"/>
        <v>0</v>
      </c>
      <c r="Q313" s="23"/>
      <c r="R313" s="23">
        <v>1940</v>
      </c>
      <c r="S313" s="23">
        <f t="shared" si="524"/>
        <v>1940</v>
      </c>
      <c r="T313" s="23"/>
      <c r="U313" s="23"/>
      <c r="V313" s="23">
        <f t="shared" si="525"/>
        <v>0</v>
      </c>
      <c r="W313" s="23"/>
      <c r="X313" s="23"/>
      <c r="Y313" s="23">
        <f t="shared" si="526"/>
        <v>0</v>
      </c>
      <c r="Z313" s="23"/>
      <c r="AA313" s="23"/>
      <c r="AB313" s="23">
        <f t="shared" si="527"/>
        <v>0</v>
      </c>
    </row>
    <row r="314" spans="1:189" s="17" customFormat="1" ht="47.25" x14ac:dyDescent="0.25">
      <c r="A314" s="22" t="s">
        <v>268</v>
      </c>
      <c r="B314" s="23">
        <f t="shared" ref="B314" si="667">E314+H314+K314+N314+Q314+T314+Z314</f>
        <v>0</v>
      </c>
      <c r="C314" s="23">
        <f t="shared" ref="C314" si="668">F314+I314+L314+O314+R314+U314+AA314</f>
        <v>10060</v>
      </c>
      <c r="D314" s="23">
        <f t="shared" ref="D314" si="669">G314+J314+M314+P314+S314+V314+AB314</f>
        <v>10060</v>
      </c>
      <c r="E314" s="23"/>
      <c r="F314" s="23"/>
      <c r="G314" s="23">
        <f t="shared" ref="G314" si="670">F314-E314</f>
        <v>0</v>
      </c>
      <c r="H314" s="23"/>
      <c r="I314" s="23"/>
      <c r="J314" s="23">
        <f t="shared" ref="J314" si="671">I314-H314</f>
        <v>0</v>
      </c>
      <c r="K314" s="23"/>
      <c r="L314" s="23"/>
      <c r="M314" s="23">
        <f t="shared" ref="M314" si="672">L314-K314</f>
        <v>0</v>
      </c>
      <c r="N314" s="23"/>
      <c r="O314" s="23"/>
      <c r="P314" s="23">
        <f t="shared" ref="P314" si="673">O314-N314</f>
        <v>0</v>
      </c>
      <c r="Q314" s="23"/>
      <c r="R314" s="23">
        <v>10060</v>
      </c>
      <c r="S314" s="23">
        <f t="shared" ref="S314" si="674">R314-Q314</f>
        <v>10060</v>
      </c>
      <c r="T314" s="23"/>
      <c r="U314" s="23"/>
      <c r="V314" s="23">
        <f t="shared" ref="V314" si="675">U314-T314</f>
        <v>0</v>
      </c>
      <c r="W314" s="23"/>
      <c r="X314" s="23"/>
      <c r="Y314" s="23">
        <f t="shared" ref="Y314" si="676">X314-W314</f>
        <v>0</v>
      </c>
      <c r="Z314" s="23"/>
      <c r="AA314" s="23"/>
      <c r="AB314" s="23">
        <f t="shared" ref="AB314" si="677">AA314-Z314</f>
        <v>0</v>
      </c>
    </row>
    <row r="315" spans="1:189" s="17" customFormat="1" x14ac:dyDescent="0.25">
      <c r="A315" s="33" t="s">
        <v>208</v>
      </c>
      <c r="B315" s="16">
        <f t="shared" si="518"/>
        <v>58500</v>
      </c>
      <c r="C315" s="16">
        <f t="shared" si="630"/>
        <v>58500</v>
      </c>
      <c r="D315" s="16">
        <f t="shared" si="630"/>
        <v>0</v>
      </c>
      <c r="E315" s="16">
        <f t="shared" ref="E315:AA315" si="678">SUM(E316)</f>
        <v>0</v>
      </c>
      <c r="F315" s="16">
        <f t="shared" si="678"/>
        <v>0</v>
      </c>
      <c r="G315" s="16">
        <f t="shared" si="520"/>
        <v>0</v>
      </c>
      <c r="H315" s="16">
        <f t="shared" si="678"/>
        <v>0</v>
      </c>
      <c r="I315" s="16">
        <f t="shared" si="678"/>
        <v>0</v>
      </c>
      <c r="J315" s="16">
        <f t="shared" si="521"/>
        <v>0</v>
      </c>
      <c r="K315" s="16">
        <f t="shared" si="678"/>
        <v>58500</v>
      </c>
      <c r="L315" s="16">
        <f t="shared" si="678"/>
        <v>58500</v>
      </c>
      <c r="M315" s="16">
        <f t="shared" si="522"/>
        <v>0</v>
      </c>
      <c r="N315" s="16">
        <f t="shared" si="678"/>
        <v>0</v>
      </c>
      <c r="O315" s="16">
        <f t="shared" si="678"/>
        <v>0</v>
      </c>
      <c r="P315" s="16">
        <f t="shared" si="523"/>
        <v>0</v>
      </c>
      <c r="Q315" s="16">
        <f t="shared" si="678"/>
        <v>0</v>
      </c>
      <c r="R315" s="16">
        <f t="shared" si="678"/>
        <v>0</v>
      </c>
      <c r="S315" s="16">
        <f t="shared" si="524"/>
        <v>0</v>
      </c>
      <c r="T315" s="16">
        <f t="shared" si="678"/>
        <v>0</v>
      </c>
      <c r="U315" s="16">
        <f t="shared" si="678"/>
        <v>0</v>
      </c>
      <c r="V315" s="16">
        <f t="shared" si="525"/>
        <v>0</v>
      </c>
      <c r="W315" s="16">
        <f t="shared" si="678"/>
        <v>0</v>
      </c>
      <c r="X315" s="16">
        <f t="shared" si="678"/>
        <v>0</v>
      </c>
      <c r="Y315" s="16">
        <f t="shared" si="526"/>
        <v>0</v>
      </c>
      <c r="Z315" s="16">
        <f t="shared" si="678"/>
        <v>0</v>
      </c>
      <c r="AA315" s="16">
        <f t="shared" si="678"/>
        <v>0</v>
      </c>
      <c r="AB315" s="16">
        <f t="shared" si="527"/>
        <v>0</v>
      </c>
    </row>
    <row r="316" spans="1:189" s="17" customFormat="1" ht="31.5" x14ac:dyDescent="0.25">
      <c r="A316" s="15" t="s">
        <v>45</v>
      </c>
      <c r="B316" s="16">
        <f t="shared" si="518"/>
        <v>58500</v>
      </c>
      <c r="C316" s="16">
        <f t="shared" si="630"/>
        <v>58500</v>
      </c>
      <c r="D316" s="16">
        <f t="shared" si="630"/>
        <v>0</v>
      </c>
      <c r="E316" s="16">
        <f t="shared" ref="E316:AA316" si="679">SUM(E317:E317)</f>
        <v>0</v>
      </c>
      <c r="F316" s="16">
        <f t="shared" si="679"/>
        <v>0</v>
      </c>
      <c r="G316" s="16">
        <f t="shared" si="520"/>
        <v>0</v>
      </c>
      <c r="H316" s="16">
        <f t="shared" si="679"/>
        <v>0</v>
      </c>
      <c r="I316" s="16">
        <f t="shared" si="679"/>
        <v>0</v>
      </c>
      <c r="J316" s="16">
        <f t="shared" si="521"/>
        <v>0</v>
      </c>
      <c r="K316" s="16">
        <f t="shared" si="679"/>
        <v>58500</v>
      </c>
      <c r="L316" s="16">
        <f t="shared" si="679"/>
        <v>58500</v>
      </c>
      <c r="M316" s="16">
        <f t="shared" si="522"/>
        <v>0</v>
      </c>
      <c r="N316" s="16">
        <f t="shared" si="679"/>
        <v>0</v>
      </c>
      <c r="O316" s="16">
        <f t="shared" si="679"/>
        <v>0</v>
      </c>
      <c r="P316" s="16">
        <f t="shared" si="523"/>
        <v>0</v>
      </c>
      <c r="Q316" s="16">
        <f t="shared" si="679"/>
        <v>0</v>
      </c>
      <c r="R316" s="16">
        <f t="shared" si="679"/>
        <v>0</v>
      </c>
      <c r="S316" s="16">
        <f t="shared" si="524"/>
        <v>0</v>
      </c>
      <c r="T316" s="16">
        <f t="shared" si="679"/>
        <v>0</v>
      </c>
      <c r="U316" s="16">
        <f t="shared" si="679"/>
        <v>0</v>
      </c>
      <c r="V316" s="16">
        <f t="shared" si="525"/>
        <v>0</v>
      </c>
      <c r="W316" s="16">
        <f t="shared" si="679"/>
        <v>0</v>
      </c>
      <c r="X316" s="16">
        <f t="shared" si="679"/>
        <v>0</v>
      </c>
      <c r="Y316" s="16">
        <f t="shared" si="526"/>
        <v>0</v>
      </c>
      <c r="Z316" s="16">
        <f t="shared" si="679"/>
        <v>0</v>
      </c>
      <c r="AA316" s="16">
        <f t="shared" si="679"/>
        <v>0</v>
      </c>
      <c r="AB316" s="16">
        <f t="shared" si="527"/>
        <v>0</v>
      </c>
    </row>
    <row r="317" spans="1:189" s="17" customFormat="1" ht="47.25" x14ac:dyDescent="0.25">
      <c r="A317" s="27" t="s">
        <v>209</v>
      </c>
      <c r="B317" s="23">
        <f t="shared" si="518"/>
        <v>58500</v>
      </c>
      <c r="C317" s="23">
        <f t="shared" si="630"/>
        <v>58500</v>
      </c>
      <c r="D317" s="23">
        <f t="shared" si="630"/>
        <v>0</v>
      </c>
      <c r="E317" s="23"/>
      <c r="F317" s="23"/>
      <c r="G317" s="23">
        <f t="shared" si="520"/>
        <v>0</v>
      </c>
      <c r="H317" s="23"/>
      <c r="I317" s="23"/>
      <c r="J317" s="23">
        <f t="shared" si="521"/>
        <v>0</v>
      </c>
      <c r="K317" s="23">
        <v>58500</v>
      </c>
      <c r="L317" s="23">
        <v>58500</v>
      </c>
      <c r="M317" s="23">
        <f t="shared" si="522"/>
        <v>0</v>
      </c>
      <c r="N317" s="23"/>
      <c r="O317" s="23"/>
      <c r="P317" s="23">
        <f t="shared" si="523"/>
        <v>0</v>
      </c>
      <c r="Q317" s="23"/>
      <c r="R317" s="23"/>
      <c r="S317" s="23">
        <f t="shared" si="524"/>
        <v>0</v>
      </c>
      <c r="T317" s="23"/>
      <c r="U317" s="23"/>
      <c r="V317" s="23">
        <f t="shared" si="525"/>
        <v>0</v>
      </c>
      <c r="W317" s="23"/>
      <c r="X317" s="23"/>
      <c r="Y317" s="23">
        <f t="shared" si="526"/>
        <v>0</v>
      </c>
      <c r="Z317" s="32"/>
      <c r="AA317" s="32"/>
      <c r="AB317" s="23">
        <f t="shared" si="527"/>
        <v>0</v>
      </c>
      <c r="FN317" s="14"/>
      <c r="FO317" s="14"/>
      <c r="FP317" s="14"/>
      <c r="FQ317" s="14"/>
      <c r="FR317" s="14"/>
      <c r="FS317" s="14"/>
      <c r="FT317" s="14"/>
      <c r="FU317" s="14"/>
      <c r="FV317" s="14"/>
      <c r="FW317" s="14"/>
      <c r="FX317" s="14"/>
      <c r="FY317" s="14"/>
      <c r="FZ317" s="14"/>
      <c r="GA317" s="14"/>
      <c r="GB317" s="14"/>
      <c r="GC317" s="14"/>
      <c r="GD317" s="14"/>
      <c r="GE317" s="14"/>
      <c r="GF317" s="14"/>
      <c r="GG317" s="14"/>
    </row>
    <row r="318" spans="1:189" s="17" customFormat="1" ht="31.5" x14ac:dyDescent="0.25">
      <c r="A318" s="33" t="s">
        <v>210</v>
      </c>
      <c r="B318" s="16">
        <f t="shared" si="518"/>
        <v>522579</v>
      </c>
      <c r="C318" s="16">
        <f t="shared" si="630"/>
        <v>522579</v>
      </c>
      <c r="D318" s="16">
        <f t="shared" si="630"/>
        <v>0</v>
      </c>
      <c r="E318" s="16">
        <f>SUM(E319,E322,E324,E326)</f>
        <v>522579</v>
      </c>
      <c r="F318" s="16">
        <f>SUM(F319,F322,F324,F326)</f>
        <v>522579</v>
      </c>
      <c r="G318" s="16">
        <f t="shared" si="520"/>
        <v>0</v>
      </c>
      <c r="H318" s="16">
        <f t="shared" ref="H318:Z318" si="680">SUM(H319,H322,H324,H326)</f>
        <v>0</v>
      </c>
      <c r="I318" s="16">
        <f t="shared" ref="I318" si="681">SUM(I319,I322,I324,I326)</f>
        <v>0</v>
      </c>
      <c r="J318" s="16">
        <f t="shared" si="521"/>
        <v>0</v>
      </c>
      <c r="K318" s="16">
        <f t="shared" si="680"/>
        <v>0</v>
      </c>
      <c r="L318" s="16">
        <f t="shared" ref="L318" si="682">SUM(L319,L322,L324,L326)</f>
        <v>0</v>
      </c>
      <c r="M318" s="16">
        <f t="shared" si="522"/>
        <v>0</v>
      </c>
      <c r="N318" s="16">
        <f t="shared" si="680"/>
        <v>0</v>
      </c>
      <c r="O318" s="16">
        <f t="shared" ref="O318" si="683">SUM(O319,O322,O324,O326)</f>
        <v>0</v>
      </c>
      <c r="P318" s="16">
        <f t="shared" si="523"/>
        <v>0</v>
      </c>
      <c r="Q318" s="16">
        <f t="shared" si="680"/>
        <v>0</v>
      </c>
      <c r="R318" s="16">
        <f t="shared" ref="R318" si="684">SUM(R319,R322,R324,R326)</f>
        <v>0</v>
      </c>
      <c r="S318" s="16">
        <f t="shared" si="524"/>
        <v>0</v>
      </c>
      <c r="T318" s="16">
        <f t="shared" si="680"/>
        <v>0</v>
      </c>
      <c r="U318" s="16">
        <f t="shared" ref="U318" si="685">SUM(U319,U322,U324,U326)</f>
        <v>0</v>
      </c>
      <c r="V318" s="16">
        <f t="shared" si="525"/>
        <v>0</v>
      </c>
      <c r="W318" s="16">
        <f t="shared" ref="W318" si="686">SUM(W319,W322,W324,W326)</f>
        <v>0</v>
      </c>
      <c r="X318" s="16">
        <f t="shared" ref="X318" si="687">SUM(X319,X322,X324,X326)</f>
        <v>0</v>
      </c>
      <c r="Y318" s="16">
        <f t="shared" si="526"/>
        <v>0</v>
      </c>
      <c r="Z318" s="16">
        <f t="shared" si="680"/>
        <v>0</v>
      </c>
      <c r="AA318" s="16">
        <f t="shared" ref="AA318" si="688">SUM(AA319,AA322,AA324,AA326)</f>
        <v>0</v>
      </c>
      <c r="AB318" s="16">
        <f t="shared" si="527"/>
        <v>0</v>
      </c>
    </row>
    <row r="319" spans="1:189" s="17" customFormat="1" x14ac:dyDescent="0.25">
      <c r="A319" s="15" t="s">
        <v>32</v>
      </c>
      <c r="B319" s="16">
        <f>E319+H319+K319+N319+Q319+T319+Z319</f>
        <v>246480</v>
      </c>
      <c r="C319" s="16">
        <f t="shared" si="630"/>
        <v>268992</v>
      </c>
      <c r="D319" s="16">
        <f>G319+J319+M319+P319+S319+V319+AB319</f>
        <v>22512</v>
      </c>
      <c r="E319" s="16">
        <f>SUM(E320:E321)</f>
        <v>246480</v>
      </c>
      <c r="F319" s="16">
        <f>SUM(F320:F321)</f>
        <v>268992</v>
      </c>
      <c r="G319" s="16">
        <f>F319-E319</f>
        <v>22512</v>
      </c>
      <c r="H319" s="16">
        <f>SUM(H320:H321)</f>
        <v>0</v>
      </c>
      <c r="I319" s="16">
        <f>SUM(I320:I321)</f>
        <v>0</v>
      </c>
      <c r="J319" s="16">
        <f t="shared" si="521"/>
        <v>0</v>
      </c>
      <c r="K319" s="16">
        <f>SUM(K320:K321)</f>
        <v>0</v>
      </c>
      <c r="L319" s="16">
        <f>SUM(L320:L321)</f>
        <v>0</v>
      </c>
      <c r="M319" s="16">
        <f t="shared" si="522"/>
        <v>0</v>
      </c>
      <c r="N319" s="16">
        <f>SUM(N320:N321)</f>
        <v>0</v>
      </c>
      <c r="O319" s="16">
        <f>SUM(O320:O321)</f>
        <v>0</v>
      </c>
      <c r="P319" s="16">
        <f t="shared" si="523"/>
        <v>0</v>
      </c>
      <c r="Q319" s="16">
        <f>SUM(Q320:Q321)</f>
        <v>0</v>
      </c>
      <c r="R319" s="16">
        <f>SUM(R320:R321)</f>
        <v>0</v>
      </c>
      <c r="S319" s="16">
        <f t="shared" si="524"/>
        <v>0</v>
      </c>
      <c r="T319" s="16">
        <f>SUM(T320:T321)</f>
        <v>0</v>
      </c>
      <c r="U319" s="16">
        <f>SUM(U320:U321)</f>
        <v>0</v>
      </c>
      <c r="V319" s="16">
        <f t="shared" si="525"/>
        <v>0</v>
      </c>
      <c r="W319" s="16">
        <f>SUM(W320:W321)</f>
        <v>0</v>
      </c>
      <c r="X319" s="16">
        <f>SUM(X320:X321)</f>
        <v>0</v>
      </c>
      <c r="Y319" s="16">
        <f>X319-W319</f>
        <v>0</v>
      </c>
      <c r="Z319" s="16">
        <f>SUM(Z320:Z321)</f>
        <v>0</v>
      </c>
      <c r="AA319" s="16">
        <f>SUM(AA320:AA321)</f>
        <v>0</v>
      </c>
      <c r="AB319" s="16">
        <f t="shared" si="527"/>
        <v>0</v>
      </c>
    </row>
    <row r="320" spans="1:189" s="17" customFormat="1" ht="31.5" x14ac:dyDescent="0.25">
      <c r="A320" s="27" t="s">
        <v>211</v>
      </c>
      <c r="B320" s="23">
        <f t="shared" si="518"/>
        <v>246480</v>
      </c>
      <c r="C320" s="23">
        <f t="shared" si="630"/>
        <v>246480</v>
      </c>
      <c r="D320" s="23">
        <f t="shared" si="630"/>
        <v>0</v>
      </c>
      <c r="E320" s="23">
        <v>246480</v>
      </c>
      <c r="F320" s="23">
        <v>246480</v>
      </c>
      <c r="G320" s="23">
        <f t="shared" si="520"/>
        <v>0</v>
      </c>
      <c r="H320" s="23"/>
      <c r="I320" s="23"/>
      <c r="J320" s="23">
        <f t="shared" si="521"/>
        <v>0</v>
      </c>
      <c r="K320" s="23"/>
      <c r="L320" s="23"/>
      <c r="M320" s="23">
        <f t="shared" si="522"/>
        <v>0</v>
      </c>
      <c r="N320" s="23"/>
      <c r="O320" s="23"/>
      <c r="P320" s="23">
        <f t="shared" si="523"/>
        <v>0</v>
      </c>
      <c r="Q320" s="23"/>
      <c r="R320" s="23"/>
      <c r="S320" s="23">
        <f t="shared" si="524"/>
        <v>0</v>
      </c>
      <c r="T320" s="23"/>
      <c r="U320" s="23"/>
      <c r="V320" s="23">
        <f t="shared" si="525"/>
        <v>0</v>
      </c>
      <c r="W320" s="23"/>
      <c r="X320" s="23"/>
      <c r="Y320" s="23">
        <f t="shared" si="526"/>
        <v>0</v>
      </c>
      <c r="Z320" s="32">
        <v>0</v>
      </c>
      <c r="AA320" s="32">
        <v>0</v>
      </c>
      <c r="AB320" s="23">
        <f t="shared" si="527"/>
        <v>0</v>
      </c>
      <c r="FN320" s="14"/>
      <c r="FO320" s="14"/>
      <c r="FP320" s="14"/>
      <c r="FQ320" s="14"/>
      <c r="FR320" s="14"/>
      <c r="FS320" s="14"/>
      <c r="FT320" s="14"/>
      <c r="FU320" s="14"/>
      <c r="FV320" s="14"/>
      <c r="FW320" s="14"/>
      <c r="FX320" s="14"/>
      <c r="FY320" s="14"/>
      <c r="FZ320" s="14"/>
      <c r="GA320" s="14"/>
      <c r="GB320" s="14"/>
      <c r="GC320" s="14"/>
      <c r="GD320" s="14"/>
      <c r="GE320" s="14"/>
      <c r="GF320" s="14"/>
      <c r="GG320" s="14"/>
    </row>
    <row r="321" spans="1:189" s="17" customFormat="1" ht="31.5" x14ac:dyDescent="0.25">
      <c r="A321" s="27" t="s">
        <v>351</v>
      </c>
      <c r="B321" s="23">
        <f t="shared" ref="B321" si="689">E321+H321+K321+N321+Q321+T321+Z321</f>
        <v>0</v>
      </c>
      <c r="C321" s="23">
        <f>F321+I321+L321+O321+R321+U321+AA321</f>
        <v>22512</v>
      </c>
      <c r="D321" s="23">
        <f t="shared" ref="D321" si="690">G321+J321+M321+P321+S321+V321+AB321</f>
        <v>22512</v>
      </c>
      <c r="E321" s="23">
        <v>0</v>
      </c>
      <c r="F321" s="23">
        <v>22512</v>
      </c>
      <c r="G321" s="23">
        <f t="shared" ref="G321" si="691">F321-E321</f>
        <v>22512</v>
      </c>
      <c r="H321" s="23"/>
      <c r="I321" s="23"/>
      <c r="J321" s="23">
        <f t="shared" ref="J321" si="692">I321-H321</f>
        <v>0</v>
      </c>
      <c r="K321" s="23"/>
      <c r="L321" s="23"/>
      <c r="M321" s="23">
        <f t="shared" ref="M321" si="693">L321-K321</f>
        <v>0</v>
      </c>
      <c r="N321" s="23"/>
      <c r="O321" s="23"/>
      <c r="P321" s="23">
        <f t="shared" ref="P321" si="694">O321-N321</f>
        <v>0</v>
      </c>
      <c r="Q321" s="23"/>
      <c r="R321" s="23"/>
      <c r="S321" s="23">
        <f t="shared" ref="S321" si="695">R321-Q321</f>
        <v>0</v>
      </c>
      <c r="T321" s="23"/>
      <c r="U321" s="23"/>
      <c r="V321" s="23">
        <f t="shared" ref="V321" si="696">U321-T321</f>
        <v>0</v>
      </c>
      <c r="W321" s="23"/>
      <c r="X321" s="23"/>
      <c r="Y321" s="23">
        <f t="shared" ref="Y321" si="697">X321-W321</f>
        <v>0</v>
      </c>
      <c r="Z321" s="32">
        <v>0</v>
      </c>
      <c r="AA321" s="32">
        <v>0</v>
      </c>
      <c r="AB321" s="23">
        <f t="shared" ref="AB321" si="698">AA321-Z321</f>
        <v>0</v>
      </c>
      <c r="FN321" s="14"/>
      <c r="FO321" s="14"/>
      <c r="FP321" s="14"/>
      <c r="FQ321" s="14"/>
      <c r="FR321" s="14"/>
      <c r="FS321" s="14"/>
      <c r="FT321" s="14"/>
      <c r="FU321" s="14"/>
      <c r="FV321" s="14"/>
      <c r="FW321" s="14"/>
      <c r="FX321" s="14"/>
      <c r="FY321" s="14"/>
      <c r="FZ321" s="14"/>
      <c r="GA321" s="14"/>
      <c r="GB321" s="14"/>
      <c r="GC321" s="14"/>
      <c r="GD321" s="14"/>
      <c r="GE321" s="14"/>
      <c r="GF321" s="14"/>
      <c r="GG321" s="14"/>
    </row>
    <row r="322" spans="1:189" s="17" customFormat="1" ht="31.5" x14ac:dyDescent="0.25">
      <c r="A322" s="15" t="s">
        <v>45</v>
      </c>
      <c r="B322" s="16">
        <f t="shared" si="518"/>
        <v>150000</v>
      </c>
      <c r="C322" s="16">
        <f t="shared" si="630"/>
        <v>150000</v>
      </c>
      <c r="D322" s="16">
        <f t="shared" si="630"/>
        <v>0</v>
      </c>
      <c r="E322" s="16">
        <f>SUM(E323)</f>
        <v>150000</v>
      </c>
      <c r="F322" s="16">
        <f>SUM(F323)</f>
        <v>150000</v>
      </c>
      <c r="G322" s="16">
        <f t="shared" si="520"/>
        <v>0</v>
      </c>
      <c r="H322" s="16">
        <f t="shared" ref="H322:AA322" si="699">SUM(H323)</f>
        <v>0</v>
      </c>
      <c r="I322" s="16">
        <f t="shared" si="699"/>
        <v>0</v>
      </c>
      <c r="J322" s="16">
        <f t="shared" si="521"/>
        <v>0</v>
      </c>
      <c r="K322" s="16">
        <f t="shared" si="699"/>
        <v>0</v>
      </c>
      <c r="L322" s="16">
        <f t="shared" si="699"/>
        <v>0</v>
      </c>
      <c r="M322" s="16">
        <f t="shared" si="522"/>
        <v>0</v>
      </c>
      <c r="N322" s="16">
        <f t="shared" si="699"/>
        <v>0</v>
      </c>
      <c r="O322" s="16">
        <f t="shared" si="699"/>
        <v>0</v>
      </c>
      <c r="P322" s="16">
        <f t="shared" si="523"/>
        <v>0</v>
      </c>
      <c r="Q322" s="16">
        <f t="shared" si="699"/>
        <v>0</v>
      </c>
      <c r="R322" s="16">
        <f t="shared" si="699"/>
        <v>0</v>
      </c>
      <c r="S322" s="16">
        <f t="shared" si="524"/>
        <v>0</v>
      </c>
      <c r="T322" s="16">
        <f t="shared" si="699"/>
        <v>0</v>
      </c>
      <c r="U322" s="16">
        <f t="shared" si="699"/>
        <v>0</v>
      </c>
      <c r="V322" s="16">
        <f t="shared" si="525"/>
        <v>0</v>
      </c>
      <c r="W322" s="16">
        <f t="shared" si="699"/>
        <v>0</v>
      </c>
      <c r="X322" s="16">
        <f t="shared" si="699"/>
        <v>0</v>
      </c>
      <c r="Y322" s="16">
        <f t="shared" si="526"/>
        <v>0</v>
      </c>
      <c r="Z322" s="16">
        <f t="shared" si="699"/>
        <v>0</v>
      </c>
      <c r="AA322" s="16">
        <f t="shared" si="699"/>
        <v>0</v>
      </c>
      <c r="AB322" s="16">
        <f t="shared" si="527"/>
        <v>0</v>
      </c>
    </row>
    <row r="323" spans="1:189" s="17" customFormat="1" ht="31.5" x14ac:dyDescent="0.25">
      <c r="A323" s="27" t="s">
        <v>212</v>
      </c>
      <c r="B323" s="23">
        <f t="shared" si="518"/>
        <v>150000</v>
      </c>
      <c r="C323" s="23">
        <f t="shared" si="630"/>
        <v>150000</v>
      </c>
      <c r="D323" s="23">
        <f t="shared" si="630"/>
        <v>0</v>
      </c>
      <c r="E323" s="23">
        <v>150000</v>
      </c>
      <c r="F323" s="23">
        <v>150000</v>
      </c>
      <c r="G323" s="23">
        <f t="shared" si="520"/>
        <v>0</v>
      </c>
      <c r="H323" s="23"/>
      <c r="I323" s="23"/>
      <c r="J323" s="23">
        <f t="shared" si="521"/>
        <v>0</v>
      </c>
      <c r="K323" s="23"/>
      <c r="L323" s="23"/>
      <c r="M323" s="23">
        <f t="shared" si="522"/>
        <v>0</v>
      </c>
      <c r="N323" s="23"/>
      <c r="O323" s="23"/>
      <c r="P323" s="23">
        <f t="shared" si="523"/>
        <v>0</v>
      </c>
      <c r="Q323" s="23"/>
      <c r="R323" s="23"/>
      <c r="S323" s="23">
        <f t="shared" si="524"/>
        <v>0</v>
      </c>
      <c r="T323" s="23"/>
      <c r="U323" s="23"/>
      <c r="V323" s="23">
        <f t="shared" si="525"/>
        <v>0</v>
      </c>
      <c r="W323" s="23"/>
      <c r="X323" s="23"/>
      <c r="Y323" s="23">
        <f t="shared" si="526"/>
        <v>0</v>
      </c>
      <c r="Z323" s="32">
        <v>0</v>
      </c>
      <c r="AA323" s="32">
        <v>0</v>
      </c>
      <c r="AB323" s="23">
        <f t="shared" si="527"/>
        <v>0</v>
      </c>
      <c r="FN323" s="14"/>
      <c r="FO323" s="14"/>
      <c r="FP323" s="14"/>
      <c r="FQ323" s="14"/>
      <c r="FR323" s="14"/>
      <c r="FS323" s="14"/>
      <c r="FT323" s="14"/>
      <c r="FU323" s="14"/>
      <c r="FV323" s="14"/>
      <c r="FW323" s="14"/>
      <c r="FX323" s="14"/>
      <c r="FY323" s="14"/>
      <c r="FZ323" s="14"/>
      <c r="GA323" s="14"/>
      <c r="GB323" s="14"/>
      <c r="GC323" s="14"/>
      <c r="GD323" s="14"/>
      <c r="GE323" s="14"/>
      <c r="GF323" s="14"/>
      <c r="GG323" s="14"/>
    </row>
    <row r="324" spans="1:189" s="17" customFormat="1" ht="31.5" x14ac:dyDescent="0.25">
      <c r="A324" s="15" t="s">
        <v>89</v>
      </c>
      <c r="B324" s="16">
        <f t="shared" si="518"/>
        <v>22512</v>
      </c>
      <c r="C324" s="16">
        <f t="shared" si="630"/>
        <v>0</v>
      </c>
      <c r="D324" s="16">
        <f t="shared" si="630"/>
        <v>-22512</v>
      </c>
      <c r="E324" s="16">
        <f>SUM(E325)</f>
        <v>22512</v>
      </c>
      <c r="F324" s="16">
        <f>SUM(F325)</f>
        <v>0</v>
      </c>
      <c r="G324" s="16">
        <f t="shared" si="520"/>
        <v>-22512</v>
      </c>
      <c r="H324" s="16">
        <f t="shared" ref="H324:AA326" si="700">SUM(H325)</f>
        <v>0</v>
      </c>
      <c r="I324" s="16">
        <f t="shared" si="700"/>
        <v>0</v>
      </c>
      <c r="J324" s="16">
        <f t="shared" si="521"/>
        <v>0</v>
      </c>
      <c r="K324" s="16">
        <f t="shared" si="700"/>
        <v>0</v>
      </c>
      <c r="L324" s="16">
        <f t="shared" si="700"/>
        <v>0</v>
      </c>
      <c r="M324" s="16">
        <f t="shared" si="522"/>
        <v>0</v>
      </c>
      <c r="N324" s="16">
        <f t="shared" si="700"/>
        <v>0</v>
      </c>
      <c r="O324" s="16">
        <f t="shared" si="700"/>
        <v>0</v>
      </c>
      <c r="P324" s="16">
        <f t="shared" si="523"/>
        <v>0</v>
      </c>
      <c r="Q324" s="16">
        <f t="shared" si="700"/>
        <v>0</v>
      </c>
      <c r="R324" s="16">
        <f t="shared" si="700"/>
        <v>0</v>
      </c>
      <c r="S324" s="16">
        <f t="shared" si="524"/>
        <v>0</v>
      </c>
      <c r="T324" s="16">
        <f t="shared" si="700"/>
        <v>0</v>
      </c>
      <c r="U324" s="16">
        <f t="shared" si="700"/>
        <v>0</v>
      </c>
      <c r="V324" s="16">
        <f t="shared" si="525"/>
        <v>0</v>
      </c>
      <c r="W324" s="16">
        <f t="shared" si="700"/>
        <v>0</v>
      </c>
      <c r="X324" s="16">
        <f t="shared" si="700"/>
        <v>0</v>
      </c>
      <c r="Y324" s="16">
        <f t="shared" si="526"/>
        <v>0</v>
      </c>
      <c r="Z324" s="16">
        <f t="shared" si="700"/>
        <v>0</v>
      </c>
      <c r="AA324" s="16">
        <f t="shared" si="700"/>
        <v>0</v>
      </c>
      <c r="AB324" s="16">
        <f t="shared" si="527"/>
        <v>0</v>
      </c>
    </row>
    <row r="325" spans="1:189" s="17" customFormat="1" ht="31.5" x14ac:dyDescent="0.25">
      <c r="A325" s="27" t="s">
        <v>213</v>
      </c>
      <c r="B325" s="23">
        <f t="shared" si="518"/>
        <v>22512</v>
      </c>
      <c r="C325" s="23">
        <f t="shared" si="630"/>
        <v>0</v>
      </c>
      <c r="D325" s="23">
        <f t="shared" si="630"/>
        <v>-22512</v>
      </c>
      <c r="E325" s="23">
        <v>22512</v>
      </c>
      <c r="F325" s="23">
        <f>22512-22512</f>
        <v>0</v>
      </c>
      <c r="G325" s="23">
        <f t="shared" si="520"/>
        <v>-22512</v>
      </c>
      <c r="H325" s="23"/>
      <c r="I325" s="23"/>
      <c r="J325" s="23">
        <f t="shared" si="521"/>
        <v>0</v>
      </c>
      <c r="K325" s="23"/>
      <c r="L325" s="23"/>
      <c r="M325" s="23">
        <f t="shared" si="522"/>
        <v>0</v>
      </c>
      <c r="N325" s="23"/>
      <c r="O325" s="23"/>
      <c r="P325" s="23">
        <f t="shared" si="523"/>
        <v>0</v>
      </c>
      <c r="Q325" s="23"/>
      <c r="R325" s="23"/>
      <c r="S325" s="23">
        <f t="shared" si="524"/>
        <v>0</v>
      </c>
      <c r="T325" s="23"/>
      <c r="U325" s="23"/>
      <c r="V325" s="23">
        <f t="shared" si="525"/>
        <v>0</v>
      </c>
      <c r="W325" s="23"/>
      <c r="X325" s="23"/>
      <c r="Y325" s="23">
        <f t="shared" si="526"/>
        <v>0</v>
      </c>
      <c r="Z325" s="32">
        <v>0</v>
      </c>
      <c r="AA325" s="32">
        <v>0</v>
      </c>
      <c r="AB325" s="23">
        <f t="shared" si="527"/>
        <v>0</v>
      </c>
      <c r="FN325" s="14"/>
      <c r="FO325" s="14"/>
      <c r="FP325" s="14"/>
      <c r="FQ325" s="14"/>
      <c r="FR325" s="14"/>
      <c r="FS325" s="14"/>
      <c r="FT325" s="14"/>
      <c r="FU325" s="14"/>
      <c r="FV325" s="14"/>
      <c r="FW325" s="14"/>
      <c r="FX325" s="14"/>
      <c r="FY325" s="14"/>
      <c r="FZ325" s="14"/>
      <c r="GA325" s="14"/>
      <c r="GB325" s="14"/>
      <c r="GC325" s="14"/>
      <c r="GD325" s="14"/>
      <c r="GE325" s="14"/>
      <c r="GF325" s="14"/>
      <c r="GG325" s="14"/>
    </row>
    <row r="326" spans="1:189" s="17" customFormat="1" x14ac:dyDescent="0.25">
      <c r="A326" s="15" t="s">
        <v>98</v>
      </c>
      <c r="B326" s="16">
        <f t="shared" si="518"/>
        <v>103587</v>
      </c>
      <c r="C326" s="16">
        <f t="shared" si="630"/>
        <v>103587</v>
      </c>
      <c r="D326" s="16">
        <f t="shared" si="630"/>
        <v>0</v>
      </c>
      <c r="E326" s="16">
        <f>SUM(E327)</f>
        <v>103587</v>
      </c>
      <c r="F326" s="16">
        <f>SUM(F327)</f>
        <v>103587</v>
      </c>
      <c r="G326" s="16">
        <f t="shared" si="520"/>
        <v>0</v>
      </c>
      <c r="H326" s="16">
        <f t="shared" si="700"/>
        <v>0</v>
      </c>
      <c r="I326" s="16">
        <f t="shared" si="700"/>
        <v>0</v>
      </c>
      <c r="J326" s="16">
        <f t="shared" si="521"/>
        <v>0</v>
      </c>
      <c r="K326" s="16">
        <f t="shared" si="700"/>
        <v>0</v>
      </c>
      <c r="L326" s="16">
        <f t="shared" si="700"/>
        <v>0</v>
      </c>
      <c r="M326" s="16">
        <f t="shared" si="522"/>
        <v>0</v>
      </c>
      <c r="N326" s="16">
        <f t="shared" si="700"/>
        <v>0</v>
      </c>
      <c r="O326" s="16">
        <f t="shared" si="700"/>
        <v>0</v>
      </c>
      <c r="P326" s="16">
        <f t="shared" si="523"/>
        <v>0</v>
      </c>
      <c r="Q326" s="16">
        <f t="shared" si="700"/>
        <v>0</v>
      </c>
      <c r="R326" s="16">
        <f t="shared" si="700"/>
        <v>0</v>
      </c>
      <c r="S326" s="16">
        <f t="shared" si="524"/>
        <v>0</v>
      </c>
      <c r="T326" s="16">
        <f t="shared" si="700"/>
        <v>0</v>
      </c>
      <c r="U326" s="16">
        <f t="shared" si="700"/>
        <v>0</v>
      </c>
      <c r="V326" s="16">
        <f t="shared" si="525"/>
        <v>0</v>
      </c>
      <c r="W326" s="16">
        <f t="shared" si="700"/>
        <v>0</v>
      </c>
      <c r="X326" s="16">
        <f t="shared" si="700"/>
        <v>0</v>
      </c>
      <c r="Y326" s="16">
        <f t="shared" si="526"/>
        <v>0</v>
      </c>
      <c r="Z326" s="16">
        <f t="shared" si="700"/>
        <v>0</v>
      </c>
      <c r="AA326" s="16">
        <f t="shared" si="700"/>
        <v>0</v>
      </c>
      <c r="AB326" s="16">
        <f t="shared" si="527"/>
        <v>0</v>
      </c>
    </row>
    <row r="327" spans="1:189" s="17" customFormat="1" ht="31.5" x14ac:dyDescent="0.25">
      <c r="A327" s="27" t="s">
        <v>214</v>
      </c>
      <c r="B327" s="23">
        <f t="shared" si="518"/>
        <v>103587</v>
      </c>
      <c r="C327" s="23">
        <f t="shared" ref="C327:D327" si="701">F327+I327+L327+O327+R327+U327+AA327</f>
        <v>103587</v>
      </c>
      <c r="D327" s="23">
        <f t="shared" si="701"/>
        <v>0</v>
      </c>
      <c r="E327" s="23">
        <v>103587</v>
      </c>
      <c r="F327" s="23">
        <v>103587</v>
      </c>
      <c r="G327" s="23">
        <f t="shared" ref="G327" si="702">F327-E327</f>
        <v>0</v>
      </c>
      <c r="H327" s="23"/>
      <c r="I327" s="23"/>
      <c r="J327" s="23">
        <f t="shared" ref="J327" si="703">I327-H327</f>
        <v>0</v>
      </c>
      <c r="K327" s="23"/>
      <c r="L327" s="23"/>
      <c r="M327" s="23">
        <f t="shared" ref="M327" si="704">L327-K327</f>
        <v>0</v>
      </c>
      <c r="N327" s="23"/>
      <c r="O327" s="23"/>
      <c r="P327" s="23">
        <f t="shared" ref="P327" si="705">O327-N327</f>
        <v>0</v>
      </c>
      <c r="Q327" s="23"/>
      <c r="R327" s="23"/>
      <c r="S327" s="23">
        <f t="shared" ref="S327" si="706">R327-Q327</f>
        <v>0</v>
      </c>
      <c r="T327" s="23"/>
      <c r="U327" s="23"/>
      <c r="V327" s="23">
        <f t="shared" ref="V327" si="707">U327-T327</f>
        <v>0</v>
      </c>
      <c r="W327" s="23"/>
      <c r="X327" s="23"/>
      <c r="Y327" s="23">
        <f t="shared" ref="Y327" si="708">X327-W327</f>
        <v>0</v>
      </c>
      <c r="Z327" s="32">
        <v>0</v>
      </c>
      <c r="AA327" s="32">
        <v>0</v>
      </c>
      <c r="AB327" s="23">
        <f t="shared" ref="AB327" si="709">AA327-Z327</f>
        <v>0</v>
      </c>
      <c r="FN327" s="14"/>
      <c r="FO327" s="14"/>
      <c r="FP327" s="14"/>
      <c r="FQ327" s="14"/>
      <c r="FR327" s="14"/>
      <c r="FS327" s="14"/>
      <c r="FT327" s="14"/>
      <c r="FU327" s="14"/>
      <c r="FV327" s="14"/>
      <c r="FW327" s="14"/>
      <c r="FX327" s="14"/>
      <c r="FY327" s="14"/>
      <c r="FZ327" s="14"/>
      <c r="GA327" s="14"/>
      <c r="GB327" s="14"/>
      <c r="GC327" s="14"/>
      <c r="GD327" s="14"/>
      <c r="GE327" s="14"/>
      <c r="GF327" s="14"/>
      <c r="GG327" s="14"/>
    </row>
    <row r="330" spans="1:189" s="35" customFormat="1" x14ac:dyDescent="0.25">
      <c r="A330" s="34" t="s">
        <v>215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</row>
    <row r="331" spans="1:189" s="35" customFormat="1" x14ac:dyDescent="0.25">
      <c r="A331" s="36" t="s">
        <v>216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</row>
    <row r="332" spans="1:189" s="38" customFormat="1" x14ac:dyDescent="0.25">
      <c r="A332" s="3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</row>
    <row r="333" spans="1:189" x14ac:dyDescent="0.25">
      <c r="A333" s="38" t="s">
        <v>217</v>
      </c>
    </row>
    <row r="334" spans="1:189" x14ac:dyDescent="0.25">
      <c r="A334" s="39" t="s">
        <v>218</v>
      </c>
    </row>
    <row r="335" spans="1:189" x14ac:dyDescent="0.25">
      <c r="A335" s="40" t="s">
        <v>219</v>
      </c>
    </row>
    <row r="336" spans="1:189" s="1" customFormat="1" x14ac:dyDescent="0.25">
      <c r="A336" s="3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</row>
    <row r="337" spans="1:189" s="1" customFormat="1" x14ac:dyDescent="0.25">
      <c r="A337" s="41" t="s">
        <v>220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</row>
    <row r="338" spans="1:189" s="1" customFormat="1" x14ac:dyDescent="0.25">
      <c r="A338" s="42" t="s">
        <v>221</v>
      </c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</row>
    <row r="339" spans="1:189" s="1" customFormat="1" x14ac:dyDescent="0.25">
      <c r="A339" s="4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</row>
    <row r="340" spans="1:189" s="1" customFormat="1" x14ac:dyDescent="0.25">
      <c r="A340" s="38" t="s">
        <v>222</v>
      </c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</row>
    <row r="341" spans="1:189" s="1" customFormat="1" x14ac:dyDescent="0.25">
      <c r="A341" s="38" t="s">
        <v>223</v>
      </c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</row>
    <row r="342" spans="1:189" s="1" customFormat="1" x14ac:dyDescent="0.25">
      <c r="A342" s="38" t="s">
        <v>224</v>
      </c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</row>
  </sheetData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06"/>
  <sheetViews>
    <sheetView tabSelected="1" zoomScaleNormal="100" zoomScaleSheetLayoutView="100" workbookViewId="0">
      <selection activeCell="C39" sqref="C39"/>
    </sheetView>
  </sheetViews>
  <sheetFormatPr defaultRowHeight="12" x14ac:dyDescent="0.2"/>
  <cols>
    <col min="1" max="1" width="3.85546875" style="134" customWidth="1"/>
    <col min="2" max="2" width="58" style="135" customWidth="1"/>
    <col min="3" max="3" width="11" style="136" customWidth="1"/>
    <col min="4" max="4" width="11.5703125" style="136" customWidth="1"/>
    <col min="5" max="5" width="11" style="136" customWidth="1"/>
    <col min="6" max="6" width="11.5703125" style="136" customWidth="1"/>
    <col min="7" max="216" width="9.140625" style="135"/>
    <col min="217" max="217" width="5.140625" style="135" customWidth="1"/>
    <col min="218" max="218" width="63.85546875" style="135" customWidth="1"/>
    <col min="219" max="220" width="0" style="135" hidden="1" customWidth="1"/>
    <col min="221" max="221" width="11" style="135" customWidth="1"/>
    <col min="222" max="222" width="11.5703125" style="135" customWidth="1"/>
    <col min="223" max="223" width="11" style="135" customWidth="1"/>
    <col min="224" max="224" width="11.5703125" style="135" customWidth="1"/>
    <col min="225" max="472" width="9.140625" style="135"/>
    <col min="473" max="473" width="5.140625" style="135" customWidth="1"/>
    <col min="474" max="474" width="63.85546875" style="135" customWidth="1"/>
    <col min="475" max="476" width="0" style="135" hidden="1" customWidth="1"/>
    <col min="477" max="477" width="11" style="135" customWidth="1"/>
    <col min="478" max="478" width="11.5703125" style="135" customWidth="1"/>
    <col min="479" max="479" width="11" style="135" customWidth="1"/>
    <col min="480" max="480" width="11.5703125" style="135" customWidth="1"/>
    <col min="481" max="728" width="9.140625" style="135"/>
    <col min="729" max="729" width="5.140625" style="135" customWidth="1"/>
    <col min="730" max="730" width="63.85546875" style="135" customWidth="1"/>
    <col min="731" max="732" width="0" style="135" hidden="1" customWidth="1"/>
    <col min="733" max="733" width="11" style="135" customWidth="1"/>
    <col min="734" max="734" width="11.5703125" style="135" customWidth="1"/>
    <col min="735" max="735" width="11" style="135" customWidth="1"/>
    <col min="736" max="736" width="11.5703125" style="135" customWidth="1"/>
    <col min="737" max="984" width="9.140625" style="135"/>
    <col min="985" max="985" width="5.140625" style="135" customWidth="1"/>
    <col min="986" max="986" width="63.85546875" style="135" customWidth="1"/>
    <col min="987" max="988" width="0" style="135" hidden="1" customWidth="1"/>
    <col min="989" max="989" width="11" style="135" customWidth="1"/>
    <col min="990" max="990" width="11.5703125" style="135" customWidth="1"/>
    <col min="991" max="991" width="11" style="135" customWidth="1"/>
    <col min="992" max="992" width="11.5703125" style="135" customWidth="1"/>
    <col min="993" max="1240" width="9.140625" style="135"/>
    <col min="1241" max="1241" width="5.140625" style="135" customWidth="1"/>
    <col min="1242" max="1242" width="63.85546875" style="135" customWidth="1"/>
    <col min="1243" max="1244" width="0" style="135" hidden="1" customWidth="1"/>
    <col min="1245" max="1245" width="11" style="135" customWidth="1"/>
    <col min="1246" max="1246" width="11.5703125" style="135" customWidth="1"/>
    <col min="1247" max="1247" width="11" style="135" customWidth="1"/>
    <col min="1248" max="1248" width="11.5703125" style="135" customWidth="1"/>
    <col min="1249" max="1496" width="9.140625" style="135"/>
    <col min="1497" max="1497" width="5.140625" style="135" customWidth="1"/>
    <col min="1498" max="1498" width="63.85546875" style="135" customWidth="1"/>
    <col min="1499" max="1500" width="0" style="135" hidden="1" customWidth="1"/>
    <col min="1501" max="1501" width="11" style="135" customWidth="1"/>
    <col min="1502" max="1502" width="11.5703125" style="135" customWidth="1"/>
    <col min="1503" max="1503" width="11" style="135" customWidth="1"/>
    <col min="1504" max="1504" width="11.5703125" style="135" customWidth="1"/>
    <col min="1505" max="1752" width="9.140625" style="135"/>
    <col min="1753" max="1753" width="5.140625" style="135" customWidth="1"/>
    <col min="1754" max="1754" width="63.85546875" style="135" customWidth="1"/>
    <col min="1755" max="1756" width="0" style="135" hidden="1" customWidth="1"/>
    <col min="1757" max="1757" width="11" style="135" customWidth="1"/>
    <col min="1758" max="1758" width="11.5703125" style="135" customWidth="1"/>
    <col min="1759" max="1759" width="11" style="135" customWidth="1"/>
    <col min="1760" max="1760" width="11.5703125" style="135" customWidth="1"/>
    <col min="1761" max="2008" width="9.140625" style="135"/>
    <col min="2009" max="2009" width="5.140625" style="135" customWidth="1"/>
    <col min="2010" max="2010" width="63.85546875" style="135" customWidth="1"/>
    <col min="2011" max="2012" width="0" style="135" hidden="1" customWidth="1"/>
    <col min="2013" max="2013" width="11" style="135" customWidth="1"/>
    <col min="2014" max="2014" width="11.5703125" style="135" customWidth="1"/>
    <col min="2015" max="2015" width="11" style="135" customWidth="1"/>
    <col min="2016" max="2016" width="11.5703125" style="135" customWidth="1"/>
    <col min="2017" max="2264" width="9.140625" style="135"/>
    <col min="2265" max="2265" width="5.140625" style="135" customWidth="1"/>
    <col min="2266" max="2266" width="63.85546875" style="135" customWidth="1"/>
    <col min="2267" max="2268" width="0" style="135" hidden="1" customWidth="1"/>
    <col min="2269" max="2269" width="11" style="135" customWidth="1"/>
    <col min="2270" max="2270" width="11.5703125" style="135" customWidth="1"/>
    <col min="2271" max="2271" width="11" style="135" customWidth="1"/>
    <col min="2272" max="2272" width="11.5703125" style="135" customWidth="1"/>
    <col min="2273" max="2520" width="9.140625" style="135"/>
    <col min="2521" max="2521" width="5.140625" style="135" customWidth="1"/>
    <col min="2522" max="2522" width="63.85546875" style="135" customWidth="1"/>
    <col min="2523" max="2524" width="0" style="135" hidden="1" customWidth="1"/>
    <col min="2525" max="2525" width="11" style="135" customWidth="1"/>
    <col min="2526" max="2526" width="11.5703125" style="135" customWidth="1"/>
    <col min="2527" max="2527" width="11" style="135" customWidth="1"/>
    <col min="2528" max="2528" width="11.5703125" style="135" customWidth="1"/>
    <col min="2529" max="2776" width="9.140625" style="135"/>
    <col min="2777" max="2777" width="5.140625" style="135" customWidth="1"/>
    <col min="2778" max="2778" width="63.85546875" style="135" customWidth="1"/>
    <col min="2779" max="2780" width="0" style="135" hidden="1" customWidth="1"/>
    <col min="2781" max="2781" width="11" style="135" customWidth="1"/>
    <col min="2782" max="2782" width="11.5703125" style="135" customWidth="1"/>
    <col min="2783" max="2783" width="11" style="135" customWidth="1"/>
    <col min="2784" max="2784" width="11.5703125" style="135" customWidth="1"/>
    <col min="2785" max="3032" width="9.140625" style="135"/>
    <col min="3033" max="3033" width="5.140625" style="135" customWidth="1"/>
    <col min="3034" max="3034" width="63.85546875" style="135" customWidth="1"/>
    <col min="3035" max="3036" width="0" style="135" hidden="1" customWidth="1"/>
    <col min="3037" max="3037" width="11" style="135" customWidth="1"/>
    <col min="3038" max="3038" width="11.5703125" style="135" customWidth="1"/>
    <col min="3039" max="3039" width="11" style="135" customWidth="1"/>
    <col min="3040" max="3040" width="11.5703125" style="135" customWidth="1"/>
    <col min="3041" max="3288" width="9.140625" style="135"/>
    <col min="3289" max="3289" width="5.140625" style="135" customWidth="1"/>
    <col min="3290" max="3290" width="63.85546875" style="135" customWidth="1"/>
    <col min="3291" max="3292" width="0" style="135" hidden="1" customWidth="1"/>
    <col min="3293" max="3293" width="11" style="135" customWidth="1"/>
    <col min="3294" max="3294" width="11.5703125" style="135" customWidth="1"/>
    <col min="3295" max="3295" width="11" style="135" customWidth="1"/>
    <col min="3296" max="3296" width="11.5703125" style="135" customWidth="1"/>
    <col min="3297" max="3544" width="9.140625" style="135"/>
    <col min="3545" max="3545" width="5.140625" style="135" customWidth="1"/>
    <col min="3546" max="3546" width="63.85546875" style="135" customWidth="1"/>
    <col min="3547" max="3548" width="0" style="135" hidden="1" customWidth="1"/>
    <col min="3549" max="3549" width="11" style="135" customWidth="1"/>
    <col min="3550" max="3550" width="11.5703125" style="135" customWidth="1"/>
    <col min="3551" max="3551" width="11" style="135" customWidth="1"/>
    <col min="3552" max="3552" width="11.5703125" style="135" customWidth="1"/>
    <col min="3553" max="3800" width="9.140625" style="135"/>
    <col min="3801" max="3801" width="5.140625" style="135" customWidth="1"/>
    <col min="3802" max="3802" width="63.85546875" style="135" customWidth="1"/>
    <col min="3803" max="3804" width="0" style="135" hidden="1" customWidth="1"/>
    <col min="3805" max="3805" width="11" style="135" customWidth="1"/>
    <col min="3806" max="3806" width="11.5703125" style="135" customWidth="1"/>
    <col min="3807" max="3807" width="11" style="135" customWidth="1"/>
    <col min="3808" max="3808" width="11.5703125" style="135" customWidth="1"/>
    <col min="3809" max="4056" width="9.140625" style="135"/>
    <col min="4057" max="4057" width="5.140625" style="135" customWidth="1"/>
    <col min="4058" max="4058" width="63.85546875" style="135" customWidth="1"/>
    <col min="4059" max="4060" width="0" style="135" hidden="1" customWidth="1"/>
    <col min="4061" max="4061" width="11" style="135" customWidth="1"/>
    <col min="4062" max="4062" width="11.5703125" style="135" customWidth="1"/>
    <col min="4063" max="4063" width="11" style="135" customWidth="1"/>
    <col min="4064" max="4064" width="11.5703125" style="135" customWidth="1"/>
    <col min="4065" max="4312" width="9.140625" style="135"/>
    <col min="4313" max="4313" width="5.140625" style="135" customWidth="1"/>
    <col min="4314" max="4314" width="63.85546875" style="135" customWidth="1"/>
    <col min="4315" max="4316" width="0" style="135" hidden="1" customWidth="1"/>
    <col min="4317" max="4317" width="11" style="135" customWidth="1"/>
    <col min="4318" max="4318" width="11.5703125" style="135" customWidth="1"/>
    <col min="4319" max="4319" width="11" style="135" customWidth="1"/>
    <col min="4320" max="4320" width="11.5703125" style="135" customWidth="1"/>
    <col min="4321" max="4568" width="9.140625" style="135"/>
    <col min="4569" max="4569" width="5.140625" style="135" customWidth="1"/>
    <col min="4570" max="4570" width="63.85546875" style="135" customWidth="1"/>
    <col min="4571" max="4572" width="0" style="135" hidden="1" customWidth="1"/>
    <col min="4573" max="4573" width="11" style="135" customWidth="1"/>
    <col min="4574" max="4574" width="11.5703125" style="135" customWidth="1"/>
    <col min="4575" max="4575" width="11" style="135" customWidth="1"/>
    <col min="4576" max="4576" width="11.5703125" style="135" customWidth="1"/>
    <col min="4577" max="4824" width="9.140625" style="135"/>
    <col min="4825" max="4825" width="5.140625" style="135" customWidth="1"/>
    <col min="4826" max="4826" width="63.85546875" style="135" customWidth="1"/>
    <col min="4827" max="4828" width="0" style="135" hidden="1" customWidth="1"/>
    <col min="4829" max="4829" width="11" style="135" customWidth="1"/>
    <col min="4830" max="4830" width="11.5703125" style="135" customWidth="1"/>
    <col min="4831" max="4831" width="11" style="135" customWidth="1"/>
    <col min="4832" max="4832" width="11.5703125" style="135" customWidth="1"/>
    <col min="4833" max="5080" width="9.140625" style="135"/>
    <col min="5081" max="5081" width="5.140625" style="135" customWidth="1"/>
    <col min="5082" max="5082" width="63.85546875" style="135" customWidth="1"/>
    <col min="5083" max="5084" width="0" style="135" hidden="1" customWidth="1"/>
    <col min="5085" max="5085" width="11" style="135" customWidth="1"/>
    <col min="5086" max="5086" width="11.5703125" style="135" customWidth="1"/>
    <col min="5087" max="5087" width="11" style="135" customWidth="1"/>
    <col min="5088" max="5088" width="11.5703125" style="135" customWidth="1"/>
    <col min="5089" max="5336" width="9.140625" style="135"/>
    <col min="5337" max="5337" width="5.140625" style="135" customWidth="1"/>
    <col min="5338" max="5338" width="63.85546875" style="135" customWidth="1"/>
    <col min="5339" max="5340" width="0" style="135" hidden="1" customWidth="1"/>
    <col min="5341" max="5341" width="11" style="135" customWidth="1"/>
    <col min="5342" max="5342" width="11.5703125" style="135" customWidth="1"/>
    <col min="5343" max="5343" width="11" style="135" customWidth="1"/>
    <col min="5344" max="5344" width="11.5703125" style="135" customWidth="1"/>
    <col min="5345" max="5592" width="9.140625" style="135"/>
    <col min="5593" max="5593" width="5.140625" style="135" customWidth="1"/>
    <col min="5594" max="5594" width="63.85546875" style="135" customWidth="1"/>
    <col min="5595" max="5596" width="0" style="135" hidden="1" customWidth="1"/>
    <col min="5597" max="5597" width="11" style="135" customWidth="1"/>
    <col min="5598" max="5598" width="11.5703125" style="135" customWidth="1"/>
    <col min="5599" max="5599" width="11" style="135" customWidth="1"/>
    <col min="5600" max="5600" width="11.5703125" style="135" customWidth="1"/>
    <col min="5601" max="5848" width="9.140625" style="135"/>
    <col min="5849" max="5849" width="5.140625" style="135" customWidth="1"/>
    <col min="5850" max="5850" width="63.85546875" style="135" customWidth="1"/>
    <col min="5851" max="5852" width="0" style="135" hidden="1" customWidth="1"/>
    <col min="5853" max="5853" width="11" style="135" customWidth="1"/>
    <col min="5854" max="5854" width="11.5703125" style="135" customWidth="1"/>
    <col min="5855" max="5855" width="11" style="135" customWidth="1"/>
    <col min="5856" max="5856" width="11.5703125" style="135" customWidth="1"/>
    <col min="5857" max="6104" width="9.140625" style="135"/>
    <col min="6105" max="6105" width="5.140625" style="135" customWidth="1"/>
    <col min="6106" max="6106" width="63.85546875" style="135" customWidth="1"/>
    <col min="6107" max="6108" width="0" style="135" hidden="1" customWidth="1"/>
    <col min="6109" max="6109" width="11" style="135" customWidth="1"/>
    <col min="6110" max="6110" width="11.5703125" style="135" customWidth="1"/>
    <col min="6111" max="6111" width="11" style="135" customWidth="1"/>
    <col min="6112" max="6112" width="11.5703125" style="135" customWidth="1"/>
    <col min="6113" max="6360" width="9.140625" style="135"/>
    <col min="6361" max="6361" width="5.140625" style="135" customWidth="1"/>
    <col min="6362" max="6362" width="63.85546875" style="135" customWidth="1"/>
    <col min="6363" max="6364" width="0" style="135" hidden="1" customWidth="1"/>
    <col min="6365" max="6365" width="11" style="135" customWidth="1"/>
    <col min="6366" max="6366" width="11.5703125" style="135" customWidth="1"/>
    <col min="6367" max="6367" width="11" style="135" customWidth="1"/>
    <col min="6368" max="6368" width="11.5703125" style="135" customWidth="1"/>
    <col min="6369" max="6616" width="9.140625" style="135"/>
    <col min="6617" max="6617" width="5.140625" style="135" customWidth="1"/>
    <col min="6618" max="6618" width="63.85546875" style="135" customWidth="1"/>
    <col min="6619" max="6620" width="0" style="135" hidden="1" customWidth="1"/>
    <col min="6621" max="6621" width="11" style="135" customWidth="1"/>
    <col min="6622" max="6622" width="11.5703125" style="135" customWidth="1"/>
    <col min="6623" max="6623" width="11" style="135" customWidth="1"/>
    <col min="6624" max="6624" width="11.5703125" style="135" customWidth="1"/>
    <col min="6625" max="6872" width="9.140625" style="135"/>
    <col min="6873" max="6873" width="5.140625" style="135" customWidth="1"/>
    <col min="6874" max="6874" width="63.85546875" style="135" customWidth="1"/>
    <col min="6875" max="6876" width="0" style="135" hidden="1" customWidth="1"/>
    <col min="6877" max="6877" width="11" style="135" customWidth="1"/>
    <col min="6878" max="6878" width="11.5703125" style="135" customWidth="1"/>
    <col min="6879" max="6879" width="11" style="135" customWidth="1"/>
    <col min="6880" max="6880" width="11.5703125" style="135" customWidth="1"/>
    <col min="6881" max="7128" width="9.140625" style="135"/>
    <col min="7129" max="7129" width="5.140625" style="135" customWidth="1"/>
    <col min="7130" max="7130" width="63.85546875" style="135" customWidth="1"/>
    <col min="7131" max="7132" width="0" style="135" hidden="1" customWidth="1"/>
    <col min="7133" max="7133" width="11" style="135" customWidth="1"/>
    <col min="7134" max="7134" width="11.5703125" style="135" customWidth="1"/>
    <col min="7135" max="7135" width="11" style="135" customWidth="1"/>
    <col min="7136" max="7136" width="11.5703125" style="135" customWidth="1"/>
    <col min="7137" max="7384" width="9.140625" style="135"/>
    <col min="7385" max="7385" width="5.140625" style="135" customWidth="1"/>
    <col min="7386" max="7386" width="63.85546875" style="135" customWidth="1"/>
    <col min="7387" max="7388" width="0" style="135" hidden="1" customWidth="1"/>
    <col min="7389" max="7389" width="11" style="135" customWidth="1"/>
    <col min="7390" max="7390" width="11.5703125" style="135" customWidth="1"/>
    <col min="7391" max="7391" width="11" style="135" customWidth="1"/>
    <col min="7392" max="7392" width="11.5703125" style="135" customWidth="1"/>
    <col min="7393" max="7640" width="9.140625" style="135"/>
    <col min="7641" max="7641" width="5.140625" style="135" customWidth="1"/>
    <col min="7642" max="7642" width="63.85546875" style="135" customWidth="1"/>
    <col min="7643" max="7644" width="0" style="135" hidden="1" customWidth="1"/>
    <col min="7645" max="7645" width="11" style="135" customWidth="1"/>
    <col min="7646" max="7646" width="11.5703125" style="135" customWidth="1"/>
    <col min="7647" max="7647" width="11" style="135" customWidth="1"/>
    <col min="7648" max="7648" width="11.5703125" style="135" customWidth="1"/>
    <col min="7649" max="7896" width="9.140625" style="135"/>
    <col min="7897" max="7897" width="5.140625" style="135" customWidth="1"/>
    <col min="7898" max="7898" width="63.85546875" style="135" customWidth="1"/>
    <col min="7899" max="7900" width="0" style="135" hidden="1" customWidth="1"/>
    <col min="7901" max="7901" width="11" style="135" customWidth="1"/>
    <col min="7902" max="7902" width="11.5703125" style="135" customWidth="1"/>
    <col min="7903" max="7903" width="11" style="135" customWidth="1"/>
    <col min="7904" max="7904" width="11.5703125" style="135" customWidth="1"/>
    <col min="7905" max="8152" width="9.140625" style="135"/>
    <col min="8153" max="8153" width="5.140625" style="135" customWidth="1"/>
    <col min="8154" max="8154" width="63.85546875" style="135" customWidth="1"/>
    <col min="8155" max="8156" width="0" style="135" hidden="1" customWidth="1"/>
    <col min="8157" max="8157" width="11" style="135" customWidth="1"/>
    <col min="8158" max="8158" width="11.5703125" style="135" customWidth="1"/>
    <col min="8159" max="8159" width="11" style="135" customWidth="1"/>
    <col min="8160" max="8160" width="11.5703125" style="135" customWidth="1"/>
    <col min="8161" max="8408" width="9.140625" style="135"/>
    <col min="8409" max="8409" width="5.140625" style="135" customWidth="1"/>
    <col min="8410" max="8410" width="63.85546875" style="135" customWidth="1"/>
    <col min="8411" max="8412" width="0" style="135" hidden="1" customWidth="1"/>
    <col min="8413" max="8413" width="11" style="135" customWidth="1"/>
    <col min="8414" max="8414" width="11.5703125" style="135" customWidth="1"/>
    <col min="8415" max="8415" width="11" style="135" customWidth="1"/>
    <col min="8416" max="8416" width="11.5703125" style="135" customWidth="1"/>
    <col min="8417" max="8664" width="9.140625" style="135"/>
    <col min="8665" max="8665" width="5.140625" style="135" customWidth="1"/>
    <col min="8666" max="8666" width="63.85546875" style="135" customWidth="1"/>
    <col min="8667" max="8668" width="0" style="135" hidden="1" customWidth="1"/>
    <col min="8669" max="8669" width="11" style="135" customWidth="1"/>
    <col min="8670" max="8670" width="11.5703125" style="135" customWidth="1"/>
    <col min="8671" max="8671" width="11" style="135" customWidth="1"/>
    <col min="8672" max="8672" width="11.5703125" style="135" customWidth="1"/>
    <col min="8673" max="8920" width="9.140625" style="135"/>
    <col min="8921" max="8921" width="5.140625" style="135" customWidth="1"/>
    <col min="8922" max="8922" width="63.85546875" style="135" customWidth="1"/>
    <col min="8923" max="8924" width="0" style="135" hidden="1" customWidth="1"/>
    <col min="8925" max="8925" width="11" style="135" customWidth="1"/>
    <col min="8926" max="8926" width="11.5703125" style="135" customWidth="1"/>
    <col min="8927" max="8927" width="11" style="135" customWidth="1"/>
    <col min="8928" max="8928" width="11.5703125" style="135" customWidth="1"/>
    <col min="8929" max="9176" width="9.140625" style="135"/>
    <col min="9177" max="9177" width="5.140625" style="135" customWidth="1"/>
    <col min="9178" max="9178" width="63.85546875" style="135" customWidth="1"/>
    <col min="9179" max="9180" width="0" style="135" hidden="1" customWidth="1"/>
    <col min="9181" max="9181" width="11" style="135" customWidth="1"/>
    <col min="9182" max="9182" width="11.5703125" style="135" customWidth="1"/>
    <col min="9183" max="9183" width="11" style="135" customWidth="1"/>
    <col min="9184" max="9184" width="11.5703125" style="135" customWidth="1"/>
    <col min="9185" max="9432" width="9.140625" style="135"/>
    <col min="9433" max="9433" width="5.140625" style="135" customWidth="1"/>
    <col min="9434" max="9434" width="63.85546875" style="135" customWidth="1"/>
    <col min="9435" max="9436" width="0" style="135" hidden="1" customWidth="1"/>
    <col min="9437" max="9437" width="11" style="135" customWidth="1"/>
    <col min="9438" max="9438" width="11.5703125" style="135" customWidth="1"/>
    <col min="9439" max="9439" width="11" style="135" customWidth="1"/>
    <col min="9440" max="9440" width="11.5703125" style="135" customWidth="1"/>
    <col min="9441" max="9688" width="9.140625" style="135"/>
    <col min="9689" max="9689" width="5.140625" style="135" customWidth="1"/>
    <col min="9690" max="9690" width="63.85546875" style="135" customWidth="1"/>
    <col min="9691" max="9692" width="0" style="135" hidden="1" customWidth="1"/>
    <col min="9693" max="9693" width="11" style="135" customWidth="1"/>
    <col min="9694" max="9694" width="11.5703125" style="135" customWidth="1"/>
    <col min="9695" max="9695" width="11" style="135" customWidth="1"/>
    <col min="9696" max="9696" width="11.5703125" style="135" customWidth="1"/>
    <col min="9697" max="9944" width="9.140625" style="135"/>
    <col min="9945" max="9945" width="5.140625" style="135" customWidth="1"/>
    <col min="9946" max="9946" width="63.85546875" style="135" customWidth="1"/>
    <col min="9947" max="9948" width="0" style="135" hidden="1" customWidth="1"/>
    <col min="9949" max="9949" width="11" style="135" customWidth="1"/>
    <col min="9950" max="9950" width="11.5703125" style="135" customWidth="1"/>
    <col min="9951" max="9951" width="11" style="135" customWidth="1"/>
    <col min="9952" max="9952" width="11.5703125" style="135" customWidth="1"/>
    <col min="9953" max="10200" width="9.140625" style="135"/>
    <col min="10201" max="10201" width="5.140625" style="135" customWidth="1"/>
    <col min="10202" max="10202" width="63.85546875" style="135" customWidth="1"/>
    <col min="10203" max="10204" width="0" style="135" hidden="1" customWidth="1"/>
    <col min="10205" max="10205" width="11" style="135" customWidth="1"/>
    <col min="10206" max="10206" width="11.5703125" style="135" customWidth="1"/>
    <col min="10207" max="10207" width="11" style="135" customWidth="1"/>
    <col min="10208" max="10208" width="11.5703125" style="135" customWidth="1"/>
    <col min="10209" max="10456" width="9.140625" style="135"/>
    <col min="10457" max="10457" width="5.140625" style="135" customWidth="1"/>
    <col min="10458" max="10458" width="63.85546875" style="135" customWidth="1"/>
    <col min="10459" max="10460" width="0" style="135" hidden="1" customWidth="1"/>
    <col min="10461" max="10461" width="11" style="135" customWidth="1"/>
    <col min="10462" max="10462" width="11.5703125" style="135" customWidth="1"/>
    <col min="10463" max="10463" width="11" style="135" customWidth="1"/>
    <col min="10464" max="10464" width="11.5703125" style="135" customWidth="1"/>
    <col min="10465" max="10712" width="9.140625" style="135"/>
    <col min="10713" max="10713" width="5.140625" style="135" customWidth="1"/>
    <col min="10714" max="10714" width="63.85546875" style="135" customWidth="1"/>
    <col min="10715" max="10716" width="0" style="135" hidden="1" customWidth="1"/>
    <col min="10717" max="10717" width="11" style="135" customWidth="1"/>
    <col min="10718" max="10718" width="11.5703125" style="135" customWidth="1"/>
    <col min="10719" max="10719" width="11" style="135" customWidth="1"/>
    <col min="10720" max="10720" width="11.5703125" style="135" customWidth="1"/>
    <col min="10721" max="10968" width="9.140625" style="135"/>
    <col min="10969" max="10969" width="5.140625" style="135" customWidth="1"/>
    <col min="10970" max="10970" width="63.85546875" style="135" customWidth="1"/>
    <col min="10971" max="10972" width="0" style="135" hidden="1" customWidth="1"/>
    <col min="10973" max="10973" width="11" style="135" customWidth="1"/>
    <col min="10974" max="10974" width="11.5703125" style="135" customWidth="1"/>
    <col min="10975" max="10975" width="11" style="135" customWidth="1"/>
    <col min="10976" max="10976" width="11.5703125" style="135" customWidth="1"/>
    <col min="10977" max="11224" width="9.140625" style="135"/>
    <col min="11225" max="11225" width="5.140625" style="135" customWidth="1"/>
    <col min="11226" max="11226" width="63.85546875" style="135" customWidth="1"/>
    <col min="11227" max="11228" width="0" style="135" hidden="1" customWidth="1"/>
    <col min="11229" max="11229" width="11" style="135" customWidth="1"/>
    <col min="11230" max="11230" width="11.5703125" style="135" customWidth="1"/>
    <col min="11231" max="11231" width="11" style="135" customWidth="1"/>
    <col min="11232" max="11232" width="11.5703125" style="135" customWidth="1"/>
    <col min="11233" max="11480" width="9.140625" style="135"/>
    <col min="11481" max="11481" width="5.140625" style="135" customWidth="1"/>
    <col min="11482" max="11482" width="63.85546875" style="135" customWidth="1"/>
    <col min="11483" max="11484" width="0" style="135" hidden="1" customWidth="1"/>
    <col min="11485" max="11485" width="11" style="135" customWidth="1"/>
    <col min="11486" max="11486" width="11.5703125" style="135" customWidth="1"/>
    <col min="11487" max="11487" width="11" style="135" customWidth="1"/>
    <col min="11488" max="11488" width="11.5703125" style="135" customWidth="1"/>
    <col min="11489" max="11736" width="9.140625" style="135"/>
    <col min="11737" max="11737" width="5.140625" style="135" customWidth="1"/>
    <col min="11738" max="11738" width="63.85546875" style="135" customWidth="1"/>
    <col min="11739" max="11740" width="0" style="135" hidden="1" customWidth="1"/>
    <col min="11741" max="11741" width="11" style="135" customWidth="1"/>
    <col min="11742" max="11742" width="11.5703125" style="135" customWidth="1"/>
    <col min="11743" max="11743" width="11" style="135" customWidth="1"/>
    <col min="11744" max="11744" width="11.5703125" style="135" customWidth="1"/>
    <col min="11745" max="11992" width="9.140625" style="135"/>
    <col min="11993" max="11993" width="5.140625" style="135" customWidth="1"/>
    <col min="11994" max="11994" width="63.85546875" style="135" customWidth="1"/>
    <col min="11995" max="11996" width="0" style="135" hidden="1" customWidth="1"/>
    <col min="11997" max="11997" width="11" style="135" customWidth="1"/>
    <col min="11998" max="11998" width="11.5703125" style="135" customWidth="1"/>
    <col min="11999" max="11999" width="11" style="135" customWidth="1"/>
    <col min="12000" max="12000" width="11.5703125" style="135" customWidth="1"/>
    <col min="12001" max="12248" width="9.140625" style="135"/>
    <col min="12249" max="12249" width="5.140625" style="135" customWidth="1"/>
    <col min="12250" max="12250" width="63.85546875" style="135" customWidth="1"/>
    <col min="12251" max="12252" width="0" style="135" hidden="1" customWidth="1"/>
    <col min="12253" max="12253" width="11" style="135" customWidth="1"/>
    <col min="12254" max="12254" width="11.5703125" style="135" customWidth="1"/>
    <col min="12255" max="12255" width="11" style="135" customWidth="1"/>
    <col min="12256" max="12256" width="11.5703125" style="135" customWidth="1"/>
    <col min="12257" max="12504" width="9.140625" style="135"/>
    <col min="12505" max="12505" width="5.140625" style="135" customWidth="1"/>
    <col min="12506" max="12506" width="63.85546875" style="135" customWidth="1"/>
    <col min="12507" max="12508" width="0" style="135" hidden="1" customWidth="1"/>
    <col min="12509" max="12509" width="11" style="135" customWidth="1"/>
    <col min="12510" max="12510" width="11.5703125" style="135" customWidth="1"/>
    <col min="12511" max="12511" width="11" style="135" customWidth="1"/>
    <col min="12512" max="12512" width="11.5703125" style="135" customWidth="1"/>
    <col min="12513" max="12760" width="9.140625" style="135"/>
    <col min="12761" max="12761" width="5.140625" style="135" customWidth="1"/>
    <col min="12762" max="12762" width="63.85546875" style="135" customWidth="1"/>
    <col min="12763" max="12764" width="0" style="135" hidden="1" customWidth="1"/>
    <col min="12765" max="12765" width="11" style="135" customWidth="1"/>
    <col min="12766" max="12766" width="11.5703125" style="135" customWidth="1"/>
    <col min="12767" max="12767" width="11" style="135" customWidth="1"/>
    <col min="12768" max="12768" width="11.5703125" style="135" customWidth="1"/>
    <col min="12769" max="13016" width="9.140625" style="135"/>
    <col min="13017" max="13017" width="5.140625" style="135" customWidth="1"/>
    <col min="13018" max="13018" width="63.85546875" style="135" customWidth="1"/>
    <col min="13019" max="13020" width="0" style="135" hidden="1" customWidth="1"/>
    <col min="13021" max="13021" width="11" style="135" customWidth="1"/>
    <col min="13022" max="13022" width="11.5703125" style="135" customWidth="1"/>
    <col min="13023" max="13023" width="11" style="135" customWidth="1"/>
    <col min="13024" max="13024" width="11.5703125" style="135" customWidth="1"/>
    <col min="13025" max="13272" width="9.140625" style="135"/>
    <col min="13273" max="13273" width="5.140625" style="135" customWidth="1"/>
    <col min="13274" max="13274" width="63.85546875" style="135" customWidth="1"/>
    <col min="13275" max="13276" width="0" style="135" hidden="1" customWidth="1"/>
    <col min="13277" max="13277" width="11" style="135" customWidth="1"/>
    <col min="13278" max="13278" width="11.5703125" style="135" customWidth="1"/>
    <col min="13279" max="13279" width="11" style="135" customWidth="1"/>
    <col min="13280" max="13280" width="11.5703125" style="135" customWidth="1"/>
    <col min="13281" max="13528" width="9.140625" style="135"/>
    <col min="13529" max="13529" width="5.140625" style="135" customWidth="1"/>
    <col min="13530" max="13530" width="63.85546875" style="135" customWidth="1"/>
    <col min="13531" max="13532" width="0" style="135" hidden="1" customWidth="1"/>
    <col min="13533" max="13533" width="11" style="135" customWidth="1"/>
    <col min="13534" max="13534" width="11.5703125" style="135" customWidth="1"/>
    <col min="13535" max="13535" width="11" style="135" customWidth="1"/>
    <col min="13536" max="13536" width="11.5703125" style="135" customWidth="1"/>
    <col min="13537" max="13784" width="9.140625" style="135"/>
    <col min="13785" max="13785" width="5.140625" style="135" customWidth="1"/>
    <col min="13786" max="13786" width="63.85546875" style="135" customWidth="1"/>
    <col min="13787" max="13788" width="0" style="135" hidden="1" customWidth="1"/>
    <col min="13789" max="13789" width="11" style="135" customWidth="1"/>
    <col min="13790" max="13790" width="11.5703125" style="135" customWidth="1"/>
    <col min="13791" max="13791" width="11" style="135" customWidth="1"/>
    <col min="13792" max="13792" width="11.5703125" style="135" customWidth="1"/>
    <col min="13793" max="14040" width="9.140625" style="135"/>
    <col min="14041" max="14041" width="5.140625" style="135" customWidth="1"/>
    <col min="14042" max="14042" width="63.85546875" style="135" customWidth="1"/>
    <col min="14043" max="14044" width="0" style="135" hidden="1" customWidth="1"/>
    <col min="14045" max="14045" width="11" style="135" customWidth="1"/>
    <col min="14046" max="14046" width="11.5703125" style="135" customWidth="1"/>
    <col min="14047" max="14047" width="11" style="135" customWidth="1"/>
    <col min="14048" max="14048" width="11.5703125" style="135" customWidth="1"/>
    <col min="14049" max="14296" width="9.140625" style="135"/>
    <col min="14297" max="14297" width="5.140625" style="135" customWidth="1"/>
    <col min="14298" max="14298" width="63.85546875" style="135" customWidth="1"/>
    <col min="14299" max="14300" width="0" style="135" hidden="1" customWidth="1"/>
    <col min="14301" max="14301" width="11" style="135" customWidth="1"/>
    <col min="14302" max="14302" width="11.5703125" style="135" customWidth="1"/>
    <col min="14303" max="14303" width="11" style="135" customWidth="1"/>
    <col min="14304" max="14304" width="11.5703125" style="135" customWidth="1"/>
    <col min="14305" max="14552" width="9.140625" style="135"/>
    <col min="14553" max="14553" width="5.140625" style="135" customWidth="1"/>
    <col min="14554" max="14554" width="63.85546875" style="135" customWidth="1"/>
    <col min="14555" max="14556" width="0" style="135" hidden="1" customWidth="1"/>
    <col min="14557" max="14557" width="11" style="135" customWidth="1"/>
    <col min="14558" max="14558" width="11.5703125" style="135" customWidth="1"/>
    <col min="14559" max="14559" width="11" style="135" customWidth="1"/>
    <col min="14560" max="14560" width="11.5703125" style="135" customWidth="1"/>
    <col min="14561" max="14808" width="9.140625" style="135"/>
    <col min="14809" max="14809" width="5.140625" style="135" customWidth="1"/>
    <col min="14810" max="14810" width="63.85546875" style="135" customWidth="1"/>
    <col min="14811" max="14812" width="0" style="135" hidden="1" customWidth="1"/>
    <col min="14813" max="14813" width="11" style="135" customWidth="1"/>
    <col min="14814" max="14814" width="11.5703125" style="135" customWidth="1"/>
    <col min="14815" max="14815" width="11" style="135" customWidth="1"/>
    <col min="14816" max="14816" width="11.5703125" style="135" customWidth="1"/>
    <col min="14817" max="15064" width="9.140625" style="135"/>
    <col min="15065" max="15065" width="5.140625" style="135" customWidth="1"/>
    <col min="15066" max="15066" width="63.85546875" style="135" customWidth="1"/>
    <col min="15067" max="15068" width="0" style="135" hidden="1" customWidth="1"/>
    <col min="15069" max="15069" width="11" style="135" customWidth="1"/>
    <col min="15070" max="15070" width="11.5703125" style="135" customWidth="1"/>
    <col min="15071" max="15071" width="11" style="135" customWidth="1"/>
    <col min="15072" max="15072" width="11.5703125" style="135" customWidth="1"/>
    <col min="15073" max="15320" width="9.140625" style="135"/>
    <col min="15321" max="15321" width="5.140625" style="135" customWidth="1"/>
    <col min="15322" max="15322" width="63.85546875" style="135" customWidth="1"/>
    <col min="15323" max="15324" width="0" style="135" hidden="1" customWidth="1"/>
    <col min="15325" max="15325" width="11" style="135" customWidth="1"/>
    <col min="15326" max="15326" width="11.5703125" style="135" customWidth="1"/>
    <col min="15327" max="15327" width="11" style="135" customWidth="1"/>
    <col min="15328" max="15328" width="11.5703125" style="135" customWidth="1"/>
    <col min="15329" max="15576" width="9.140625" style="135"/>
    <col min="15577" max="15577" width="5.140625" style="135" customWidth="1"/>
    <col min="15578" max="15578" width="63.85546875" style="135" customWidth="1"/>
    <col min="15579" max="15580" width="0" style="135" hidden="1" customWidth="1"/>
    <col min="15581" max="15581" width="11" style="135" customWidth="1"/>
    <col min="15582" max="15582" width="11.5703125" style="135" customWidth="1"/>
    <col min="15583" max="15583" width="11" style="135" customWidth="1"/>
    <col min="15584" max="15584" width="11.5703125" style="135" customWidth="1"/>
    <col min="15585" max="15832" width="9.140625" style="135"/>
    <col min="15833" max="15833" width="5.140625" style="135" customWidth="1"/>
    <col min="15834" max="15834" width="63.85546875" style="135" customWidth="1"/>
    <col min="15835" max="15836" width="0" style="135" hidden="1" customWidth="1"/>
    <col min="15837" max="15837" width="11" style="135" customWidth="1"/>
    <col min="15838" max="15838" width="11.5703125" style="135" customWidth="1"/>
    <col min="15839" max="15839" width="11" style="135" customWidth="1"/>
    <col min="15840" max="15840" width="11.5703125" style="135" customWidth="1"/>
    <col min="15841" max="16088" width="9.140625" style="135"/>
    <col min="16089" max="16089" width="5.140625" style="135" customWidth="1"/>
    <col min="16090" max="16090" width="63.85546875" style="135" customWidth="1"/>
    <col min="16091" max="16092" width="0" style="135" hidden="1" customWidth="1"/>
    <col min="16093" max="16093" width="11" style="135" customWidth="1"/>
    <col min="16094" max="16094" width="11.5703125" style="135" customWidth="1"/>
    <col min="16095" max="16095" width="11" style="135" customWidth="1"/>
    <col min="16096" max="16096" width="11.5703125" style="135" customWidth="1"/>
    <col min="16097" max="16384" width="9.140625" style="135"/>
  </cols>
  <sheetData>
    <row r="1" spans="1:6" s="165" customFormat="1" x14ac:dyDescent="0.2">
      <c r="A1" s="164"/>
      <c r="C1" s="183"/>
      <c r="D1" s="183"/>
      <c r="E1" s="183" t="s">
        <v>353</v>
      </c>
      <c r="F1" s="183"/>
    </row>
    <row r="2" spans="1:6" s="141" customFormat="1" x14ac:dyDescent="0.2">
      <c r="A2" s="163"/>
      <c r="B2" s="144"/>
      <c r="C2" s="144"/>
      <c r="D2" s="166"/>
      <c r="E2" s="144"/>
      <c r="F2" s="166"/>
    </row>
    <row r="3" spans="1:6" x14ac:dyDescent="0.2">
      <c r="A3" s="184" t="s">
        <v>354</v>
      </c>
      <c r="B3" s="184"/>
      <c r="C3" s="184"/>
      <c r="D3" s="184"/>
      <c r="E3" s="135"/>
      <c r="F3" s="135"/>
    </row>
    <row r="4" spans="1:6" x14ac:dyDescent="0.2">
      <c r="A4" s="167"/>
      <c r="B4" s="168"/>
      <c r="C4" s="169"/>
      <c r="D4" s="170"/>
      <c r="E4" s="169"/>
      <c r="F4" s="170"/>
    </row>
    <row r="5" spans="1:6" x14ac:dyDescent="0.2">
      <c r="A5" s="184" t="s">
        <v>355</v>
      </c>
      <c r="B5" s="184"/>
      <c r="C5" s="184"/>
      <c r="D5" s="184"/>
      <c r="E5" s="135"/>
      <c r="F5" s="135"/>
    </row>
    <row r="6" spans="1:6" x14ac:dyDescent="0.2">
      <c r="A6" s="184" t="s">
        <v>356</v>
      </c>
      <c r="B6" s="184"/>
      <c r="C6" s="184"/>
      <c r="D6" s="184"/>
      <c r="E6" s="135"/>
      <c r="F6" s="135"/>
    </row>
    <row r="7" spans="1:6" x14ac:dyDescent="0.2">
      <c r="A7" s="167"/>
      <c r="B7" s="168"/>
      <c r="C7" s="169"/>
      <c r="D7" s="169"/>
      <c r="E7" s="169"/>
      <c r="F7" s="169"/>
    </row>
    <row r="8" spans="1:6" ht="15" customHeight="1" x14ac:dyDescent="0.2">
      <c r="A8" s="167"/>
      <c r="B8" s="168"/>
      <c r="C8" s="185"/>
      <c r="D8" s="185"/>
      <c r="E8" s="185"/>
      <c r="F8" s="185"/>
    </row>
    <row r="9" spans="1:6" s="171" customFormat="1" ht="21.75" customHeight="1" x14ac:dyDescent="0.2">
      <c r="A9" s="124" t="s">
        <v>357</v>
      </c>
      <c r="B9" s="124" t="s">
        <v>358</v>
      </c>
      <c r="C9" s="181" t="s">
        <v>359</v>
      </c>
      <c r="D9" s="182"/>
      <c r="E9" s="181" t="s">
        <v>360</v>
      </c>
      <c r="F9" s="182"/>
    </row>
    <row r="10" spans="1:6" s="172" customFormat="1" ht="60" customHeight="1" x14ac:dyDescent="0.2">
      <c r="A10" s="125"/>
      <c r="B10" s="126"/>
      <c r="C10" s="127" t="s">
        <v>361</v>
      </c>
      <c r="D10" s="127" t="s">
        <v>362</v>
      </c>
      <c r="E10" s="127" t="s">
        <v>361</v>
      </c>
      <c r="F10" s="127" t="s">
        <v>362</v>
      </c>
    </row>
    <row r="11" spans="1:6" x14ac:dyDescent="0.2">
      <c r="A11" s="128"/>
      <c r="B11" s="129"/>
      <c r="C11" s="130"/>
      <c r="D11" s="130"/>
      <c r="E11" s="130"/>
      <c r="F11" s="130"/>
    </row>
    <row r="12" spans="1:6" s="172" customFormat="1" x14ac:dyDescent="0.2">
      <c r="A12" s="125"/>
      <c r="B12" s="126" t="s">
        <v>363</v>
      </c>
      <c r="C12" s="131"/>
      <c r="D12" s="131"/>
      <c r="E12" s="131"/>
      <c r="F12" s="131"/>
    </row>
    <row r="13" spans="1:6" x14ac:dyDescent="0.2">
      <c r="A13" s="128"/>
      <c r="B13" s="129"/>
      <c r="C13" s="130"/>
      <c r="D13" s="130"/>
      <c r="E13" s="130"/>
      <c r="F13" s="130"/>
    </row>
    <row r="14" spans="1:6" s="172" customFormat="1" x14ac:dyDescent="0.2">
      <c r="A14" s="125" t="s">
        <v>364</v>
      </c>
      <c r="B14" s="126" t="s">
        <v>365</v>
      </c>
      <c r="C14" s="131">
        <f>152+4</f>
        <v>156</v>
      </c>
      <c r="D14" s="131">
        <f>2552662/12</f>
        <v>212721.83333333334</v>
      </c>
      <c r="E14" s="131">
        <f>152+4</f>
        <v>156</v>
      </c>
      <c r="F14" s="131">
        <f>2552662/12</f>
        <v>212721.83333333334</v>
      </c>
    </row>
    <row r="15" spans="1:6" x14ac:dyDescent="0.2">
      <c r="A15" s="128"/>
      <c r="B15" s="129" t="s">
        <v>366</v>
      </c>
      <c r="C15" s="130"/>
      <c r="D15" s="130"/>
      <c r="E15" s="130"/>
      <c r="F15" s="130"/>
    </row>
    <row r="16" spans="1:6" x14ac:dyDescent="0.2">
      <c r="A16" s="128"/>
      <c r="B16" s="129" t="s">
        <v>367</v>
      </c>
      <c r="C16" s="130">
        <f>4</f>
        <v>4</v>
      </c>
      <c r="D16" s="130">
        <f>43600/12</f>
        <v>3633.3333333333335</v>
      </c>
      <c r="E16" s="130">
        <f>4</f>
        <v>4</v>
      </c>
      <c r="F16" s="130">
        <f>43600/12</f>
        <v>3633.3333333333335</v>
      </c>
    </row>
    <row r="17" spans="1:6" x14ac:dyDescent="0.2">
      <c r="A17" s="128"/>
      <c r="B17" s="129"/>
      <c r="C17" s="130"/>
      <c r="D17" s="130"/>
      <c r="E17" s="130"/>
      <c r="F17" s="130"/>
    </row>
    <row r="18" spans="1:6" s="172" customFormat="1" x14ac:dyDescent="0.2">
      <c r="A18" s="125" t="s">
        <v>368</v>
      </c>
      <c r="B18" s="126" t="s">
        <v>369</v>
      </c>
      <c r="C18" s="131">
        <f>1+5+6</f>
        <v>12</v>
      </c>
      <c r="D18" s="131">
        <f>133623/12</f>
        <v>11135.25</v>
      </c>
      <c r="E18" s="131">
        <f>1+5+6</f>
        <v>12</v>
      </c>
      <c r="F18" s="131">
        <f>133623/12</f>
        <v>11135.25</v>
      </c>
    </row>
    <row r="19" spans="1:6" x14ac:dyDescent="0.2">
      <c r="A19" s="128"/>
      <c r="B19" s="129" t="s">
        <v>366</v>
      </c>
      <c r="C19" s="130"/>
      <c r="D19" s="130"/>
      <c r="E19" s="130"/>
      <c r="F19" s="130"/>
    </row>
    <row r="20" spans="1:6" x14ac:dyDescent="0.2">
      <c r="A20" s="128"/>
      <c r="B20" s="129" t="s">
        <v>370</v>
      </c>
      <c r="C20" s="130">
        <v>6</v>
      </c>
      <c r="D20" s="130">
        <f>66084/12</f>
        <v>5507</v>
      </c>
      <c r="E20" s="130">
        <v>6</v>
      </c>
      <c r="F20" s="130">
        <f>66084/12</f>
        <v>5507</v>
      </c>
    </row>
    <row r="21" spans="1:6" x14ac:dyDescent="0.2">
      <c r="A21" s="128"/>
      <c r="B21" s="129"/>
      <c r="C21" s="130"/>
      <c r="D21" s="130"/>
      <c r="E21" s="130"/>
      <c r="F21" s="130"/>
    </row>
    <row r="22" spans="1:6" s="172" customFormat="1" x14ac:dyDescent="0.2">
      <c r="A22" s="125" t="s">
        <v>371</v>
      </c>
      <c r="B22" s="126" t="s">
        <v>372</v>
      </c>
      <c r="C22" s="131">
        <f>C24+C25+C26+C27</f>
        <v>213</v>
      </c>
      <c r="D22" s="131">
        <f t="shared" ref="D22:F22" si="0">D24+D25+D26+D27</f>
        <v>258231.66666666666</v>
      </c>
      <c r="E22" s="131">
        <f>E24+E25+E26+E27</f>
        <v>213</v>
      </c>
      <c r="F22" s="131">
        <f t="shared" si="0"/>
        <v>258231.66666666666</v>
      </c>
    </row>
    <row r="23" spans="1:6" x14ac:dyDescent="0.2">
      <c r="A23" s="128"/>
      <c r="B23" s="129" t="s">
        <v>366</v>
      </c>
      <c r="C23" s="130"/>
      <c r="D23" s="130"/>
      <c r="E23" s="130"/>
      <c r="F23" s="130"/>
    </row>
    <row r="24" spans="1:6" x14ac:dyDescent="0.2">
      <c r="A24" s="128">
        <v>1</v>
      </c>
      <c r="B24" s="129" t="s">
        <v>373</v>
      </c>
      <c r="C24" s="130">
        <v>153</v>
      </c>
      <c r="D24" s="130">
        <f>2193191/12</f>
        <v>182765.91666666666</v>
      </c>
      <c r="E24" s="130">
        <v>153</v>
      </c>
      <c r="F24" s="130">
        <f>2193191/12</f>
        <v>182765.91666666666</v>
      </c>
    </row>
    <row r="25" spans="1:6" x14ac:dyDescent="0.2">
      <c r="A25" s="128">
        <v>2</v>
      </c>
      <c r="B25" s="129" t="s">
        <v>374</v>
      </c>
      <c r="C25" s="130">
        <f>46+5</f>
        <v>51</v>
      </c>
      <c r="D25" s="130">
        <f>788365/12</f>
        <v>65697.083333333328</v>
      </c>
      <c r="E25" s="130">
        <f>46+5</f>
        <v>51</v>
      </c>
      <c r="F25" s="130">
        <f>788365/12</f>
        <v>65697.083333333328</v>
      </c>
    </row>
    <row r="26" spans="1:6" x14ac:dyDescent="0.2">
      <c r="A26" s="128">
        <v>3</v>
      </c>
      <c r="B26" s="129" t="s">
        <v>375</v>
      </c>
      <c r="C26" s="130">
        <v>2</v>
      </c>
      <c r="D26" s="130">
        <f>16536/12</f>
        <v>1378</v>
      </c>
      <c r="E26" s="130">
        <v>2</v>
      </c>
      <c r="F26" s="130">
        <f>16536/12</f>
        <v>1378</v>
      </c>
    </row>
    <row r="27" spans="1:6" x14ac:dyDescent="0.2">
      <c r="A27" s="128">
        <v>4</v>
      </c>
      <c r="B27" s="129" t="s">
        <v>376</v>
      </c>
      <c r="C27" s="130">
        <v>7</v>
      </c>
      <c r="D27" s="130">
        <f>100688/12</f>
        <v>8390.6666666666661</v>
      </c>
      <c r="E27" s="130">
        <v>7</v>
      </c>
      <c r="F27" s="130">
        <f>100688/12</f>
        <v>8390.6666666666661</v>
      </c>
    </row>
    <row r="28" spans="1:6" x14ac:dyDescent="0.2">
      <c r="A28" s="128"/>
      <c r="B28" s="129"/>
      <c r="C28" s="130"/>
      <c r="D28" s="130"/>
      <c r="E28" s="130"/>
      <c r="F28" s="130"/>
    </row>
    <row r="29" spans="1:6" s="172" customFormat="1" x14ac:dyDescent="0.2">
      <c r="A29" s="125" t="s">
        <v>377</v>
      </c>
      <c r="B29" s="126" t="s">
        <v>378</v>
      </c>
      <c r="C29" s="131">
        <f>11+78+4.5+70+62.5+58+16.5+15+14.5</f>
        <v>330</v>
      </c>
      <c r="D29" s="131">
        <f>(120764+1007987+46092+832286+784741+605154+221786+198719+168082)/12</f>
        <v>332134.25</v>
      </c>
      <c r="E29" s="131">
        <f>11+78+4.5+70+62.5+58+16.5+15+14.5+4</f>
        <v>334</v>
      </c>
      <c r="F29" s="131">
        <f>(120764+1007987+46092+832286+784741+605154+221786+198719+168082)/12+4290</f>
        <v>336424.25</v>
      </c>
    </row>
    <row r="30" spans="1:6" s="173" customFormat="1" hidden="1" x14ac:dyDescent="0.2">
      <c r="A30" s="132">
        <v>2</v>
      </c>
      <c r="B30" s="133" t="s">
        <v>379</v>
      </c>
      <c r="C30" s="130">
        <f>20-9-11</f>
        <v>0</v>
      </c>
      <c r="D30" s="130"/>
      <c r="E30" s="130">
        <f>20-9-11</f>
        <v>0</v>
      </c>
      <c r="F30" s="130"/>
    </row>
    <row r="31" spans="1:6" x14ac:dyDescent="0.2">
      <c r="A31" s="128"/>
      <c r="B31" s="129"/>
      <c r="C31" s="130"/>
      <c r="D31" s="130"/>
      <c r="E31" s="130"/>
      <c r="F31" s="130"/>
    </row>
    <row r="32" spans="1:6" s="172" customFormat="1" x14ac:dyDescent="0.2">
      <c r="A32" s="125" t="s">
        <v>380</v>
      </c>
      <c r="B32" s="126" t="s">
        <v>381</v>
      </c>
      <c r="C32" s="131">
        <f>127+13+50</f>
        <v>190</v>
      </c>
      <c r="D32" s="131">
        <f>(1776960+659796)/12</f>
        <v>203063</v>
      </c>
      <c r="E32" s="131">
        <f>127+13+50</f>
        <v>190</v>
      </c>
      <c r="F32" s="131">
        <f>(1776960+659796)/12</f>
        <v>203063</v>
      </c>
    </row>
    <row r="33" spans="1:6" x14ac:dyDescent="0.2">
      <c r="A33" s="128"/>
      <c r="B33" s="129"/>
      <c r="C33" s="130"/>
      <c r="D33" s="130"/>
      <c r="E33" s="130"/>
      <c r="F33" s="130"/>
    </row>
    <row r="34" spans="1:6" x14ac:dyDescent="0.2">
      <c r="A34" s="128"/>
      <c r="B34" s="129"/>
      <c r="C34" s="130"/>
      <c r="D34" s="130"/>
      <c r="E34" s="130"/>
      <c r="F34" s="130"/>
    </row>
    <row r="35" spans="1:6" s="172" customFormat="1" x14ac:dyDescent="0.2">
      <c r="A35" s="125"/>
      <c r="B35" s="126" t="s">
        <v>382</v>
      </c>
      <c r="C35" s="131"/>
      <c r="D35" s="131"/>
      <c r="E35" s="131"/>
      <c r="F35" s="131"/>
    </row>
    <row r="36" spans="1:6" s="172" customFormat="1" x14ac:dyDescent="0.2">
      <c r="A36" s="125" t="s">
        <v>364</v>
      </c>
      <c r="B36" s="126" t="s">
        <v>365</v>
      </c>
      <c r="C36" s="131">
        <f>1+4</f>
        <v>5</v>
      </c>
      <c r="D36" s="131">
        <f>422712/12</f>
        <v>35226</v>
      </c>
      <c r="E36" s="131">
        <f>1+4</f>
        <v>5</v>
      </c>
      <c r="F36" s="131">
        <f>422712/12</f>
        <v>35226</v>
      </c>
    </row>
    <row r="37" spans="1:6" s="172" customFormat="1" x14ac:dyDescent="0.2">
      <c r="A37" s="125" t="s">
        <v>383</v>
      </c>
      <c r="B37" s="126" t="s">
        <v>384</v>
      </c>
      <c r="C37" s="131">
        <f>12+8</f>
        <v>20</v>
      </c>
      <c r="D37" s="131">
        <f>(137976+138420)/12</f>
        <v>23033</v>
      </c>
      <c r="E37" s="131">
        <f>12+8</f>
        <v>20</v>
      </c>
      <c r="F37" s="131">
        <f>(137976+138420)/12</f>
        <v>23033</v>
      </c>
    </row>
    <row r="38" spans="1:6" s="172" customFormat="1" x14ac:dyDescent="0.2">
      <c r="A38" s="125" t="s">
        <v>385</v>
      </c>
      <c r="B38" s="126" t="s">
        <v>378</v>
      </c>
      <c r="C38" s="131">
        <f>67+55+21+16</f>
        <v>159</v>
      </c>
      <c r="D38" s="131">
        <f>(588179+210446+237432)/12+(512031/9)</f>
        <v>143230.41666666666</v>
      </c>
      <c r="E38" s="131">
        <f>67+55+21+16-3</f>
        <v>156</v>
      </c>
      <c r="F38" s="131">
        <f>(588179+210446+237432)/12+(512031/9)</f>
        <v>143230.41666666666</v>
      </c>
    </row>
    <row r="39" spans="1:6" s="172" customFormat="1" x14ac:dyDescent="0.2">
      <c r="A39" s="125"/>
      <c r="B39" s="126"/>
      <c r="C39" s="131"/>
      <c r="D39" s="131"/>
      <c r="E39" s="131"/>
      <c r="F39" s="131"/>
    </row>
    <row r="40" spans="1:6" s="172" customFormat="1" x14ac:dyDescent="0.2">
      <c r="A40" s="125" t="s">
        <v>377</v>
      </c>
      <c r="B40" s="126" t="s">
        <v>386</v>
      </c>
      <c r="C40" s="131">
        <f>5+10+12+165+71+3</f>
        <v>266</v>
      </c>
      <c r="D40" s="131">
        <f>(57180+100605+138634+2203507)/12</f>
        <v>208327.16666666666</v>
      </c>
      <c r="E40" s="131">
        <f>5+10+12+165+71+3</f>
        <v>266</v>
      </c>
      <c r="F40" s="131">
        <f>(57180+100605+138634+2203507)/12</f>
        <v>208327.16666666666</v>
      </c>
    </row>
    <row r="41" spans="1:6" x14ac:dyDescent="0.2">
      <c r="A41" s="128"/>
      <c r="B41" s="129"/>
      <c r="C41" s="130"/>
      <c r="D41" s="130"/>
      <c r="E41" s="130"/>
      <c r="F41" s="130"/>
    </row>
    <row r="42" spans="1:6" s="172" customFormat="1" x14ac:dyDescent="0.2">
      <c r="A42" s="125" t="s">
        <v>380</v>
      </c>
      <c r="B42" s="126" t="s">
        <v>381</v>
      </c>
      <c r="C42" s="131">
        <f>SUM(C44,C48)</f>
        <v>110</v>
      </c>
      <c r="D42" s="131">
        <f t="shared" ref="D42:F42" si="1">SUM(D44,D48)</f>
        <v>98381.333333333343</v>
      </c>
      <c r="E42" s="131">
        <f>SUM(E44,E48)</f>
        <v>110</v>
      </c>
      <c r="F42" s="131">
        <f t="shared" si="1"/>
        <v>98381.333333333343</v>
      </c>
    </row>
    <row r="43" spans="1:6" x14ac:dyDescent="0.2">
      <c r="A43" s="128"/>
      <c r="B43" s="129"/>
      <c r="C43" s="130"/>
      <c r="D43" s="130"/>
      <c r="E43" s="130"/>
      <c r="F43" s="130"/>
    </row>
    <row r="44" spans="1:6" x14ac:dyDescent="0.2">
      <c r="A44" s="128">
        <v>1</v>
      </c>
      <c r="B44" s="129" t="s">
        <v>387</v>
      </c>
      <c r="C44" s="130">
        <f>SUM(C45:C47)</f>
        <v>27</v>
      </c>
      <c r="D44" s="130">
        <f t="shared" ref="D44:F44" si="2">SUM(D45:D47)</f>
        <v>26684.166666666668</v>
      </c>
      <c r="E44" s="130">
        <f>SUM(E45:E47)</f>
        <v>27</v>
      </c>
      <c r="F44" s="130">
        <f t="shared" si="2"/>
        <v>26684.166666666668</v>
      </c>
    </row>
    <row r="45" spans="1:6" x14ac:dyDescent="0.2">
      <c r="A45" s="128" t="s">
        <v>388</v>
      </c>
      <c r="B45" s="129" t="s">
        <v>389</v>
      </c>
      <c r="C45" s="130">
        <v>7</v>
      </c>
      <c r="D45" s="130">
        <f>86280/12</f>
        <v>7190</v>
      </c>
      <c r="E45" s="130">
        <v>7</v>
      </c>
      <c r="F45" s="130">
        <f>86280/12</f>
        <v>7190</v>
      </c>
    </row>
    <row r="46" spans="1:6" x14ac:dyDescent="0.2">
      <c r="A46" s="128" t="s">
        <v>390</v>
      </c>
      <c r="B46" s="129" t="s">
        <v>391</v>
      </c>
      <c r="C46" s="130">
        <v>18</v>
      </c>
      <c r="D46" s="130">
        <f>215090/12</f>
        <v>17924.166666666668</v>
      </c>
      <c r="E46" s="130">
        <v>18</v>
      </c>
      <c r="F46" s="130">
        <f>215090/12</f>
        <v>17924.166666666668</v>
      </c>
    </row>
    <row r="47" spans="1:6" x14ac:dyDescent="0.2">
      <c r="A47" s="128" t="s">
        <v>392</v>
      </c>
      <c r="B47" s="129" t="s">
        <v>393</v>
      </c>
      <c r="C47" s="130">
        <v>2</v>
      </c>
      <c r="D47" s="130">
        <f>18840/12</f>
        <v>1570</v>
      </c>
      <c r="E47" s="130">
        <v>2</v>
      </c>
      <c r="F47" s="130">
        <f>18840/12</f>
        <v>1570</v>
      </c>
    </row>
    <row r="48" spans="1:6" x14ac:dyDescent="0.2">
      <c r="A48" s="128">
        <v>2</v>
      </c>
      <c r="B48" s="129" t="s">
        <v>394</v>
      </c>
      <c r="C48" s="130">
        <f>SUM(C49:C52)</f>
        <v>83</v>
      </c>
      <c r="D48" s="130">
        <f t="shared" ref="D48:F48" si="3">SUM(D49:D52)</f>
        <v>71697.166666666672</v>
      </c>
      <c r="E48" s="130">
        <f>SUM(E49:E52)</f>
        <v>83</v>
      </c>
      <c r="F48" s="130">
        <f t="shared" si="3"/>
        <v>71697.166666666672</v>
      </c>
    </row>
    <row r="49" spans="1:6" x14ac:dyDescent="0.2">
      <c r="A49" s="128" t="s">
        <v>388</v>
      </c>
      <c r="B49" s="129" t="s">
        <v>395</v>
      </c>
      <c r="C49" s="130">
        <v>28</v>
      </c>
      <c r="D49" s="130">
        <f>266464/12</f>
        <v>22205.333333333332</v>
      </c>
      <c r="E49" s="130">
        <v>28</v>
      </c>
      <c r="F49" s="130">
        <f>266464/12</f>
        <v>22205.333333333332</v>
      </c>
    </row>
    <row r="50" spans="1:6" x14ac:dyDescent="0.2">
      <c r="A50" s="128" t="s">
        <v>390</v>
      </c>
      <c r="B50" s="129" t="s">
        <v>396</v>
      </c>
      <c r="C50" s="130">
        <v>18</v>
      </c>
      <c r="D50" s="130">
        <f>197300/12</f>
        <v>16441.666666666668</v>
      </c>
      <c r="E50" s="130">
        <v>18</v>
      </c>
      <c r="F50" s="130">
        <f>197300/12</f>
        <v>16441.666666666668</v>
      </c>
    </row>
    <row r="51" spans="1:6" x14ac:dyDescent="0.2">
      <c r="A51" s="128" t="s">
        <v>392</v>
      </c>
      <c r="B51" s="129" t="s">
        <v>397</v>
      </c>
      <c r="C51" s="130">
        <v>19</v>
      </c>
      <c r="D51" s="130">
        <f>221880/12</f>
        <v>18490</v>
      </c>
      <c r="E51" s="130">
        <v>19</v>
      </c>
      <c r="F51" s="130">
        <f>221880/12</f>
        <v>18490</v>
      </c>
    </row>
    <row r="52" spans="1:6" x14ac:dyDescent="0.2">
      <c r="A52" s="128" t="s">
        <v>398</v>
      </c>
      <c r="B52" s="129" t="s">
        <v>399</v>
      </c>
      <c r="C52" s="130">
        <v>18</v>
      </c>
      <c r="D52" s="130">
        <f>174722/12</f>
        <v>14560.166666666666</v>
      </c>
      <c r="E52" s="130">
        <v>18</v>
      </c>
      <c r="F52" s="130">
        <f>174722/12</f>
        <v>14560.166666666666</v>
      </c>
    </row>
    <row r="53" spans="1:6" x14ac:dyDescent="0.2">
      <c r="A53" s="128"/>
      <c r="B53" s="129"/>
      <c r="C53" s="130"/>
      <c r="D53" s="130"/>
      <c r="E53" s="130"/>
      <c r="F53" s="130"/>
    </row>
    <row r="54" spans="1:6" s="172" customFormat="1" x14ac:dyDescent="0.2">
      <c r="A54" s="125" t="s">
        <v>400</v>
      </c>
      <c r="B54" s="126" t="s">
        <v>401</v>
      </c>
      <c r="C54" s="131">
        <f t="shared" ref="C54:F54" si="4">SUM(C55,C57)</f>
        <v>56</v>
      </c>
      <c r="D54" s="131">
        <f t="shared" si="4"/>
        <v>61321.166666666664</v>
      </c>
      <c r="E54" s="131">
        <f t="shared" si="4"/>
        <v>56</v>
      </c>
      <c r="F54" s="131">
        <f t="shared" si="4"/>
        <v>61321.166666666664</v>
      </c>
    </row>
    <row r="55" spans="1:6" x14ac:dyDescent="0.2">
      <c r="A55" s="128">
        <v>1</v>
      </c>
      <c r="B55" s="129" t="s">
        <v>402</v>
      </c>
      <c r="C55" s="130">
        <f t="shared" ref="C55:F55" si="5">SUM(C56:C56)</f>
        <v>6</v>
      </c>
      <c r="D55" s="130">
        <f t="shared" si="5"/>
        <v>6916.666666666667</v>
      </c>
      <c r="E55" s="130">
        <f t="shared" si="5"/>
        <v>6</v>
      </c>
      <c r="F55" s="130">
        <f t="shared" si="5"/>
        <v>6916.666666666667</v>
      </c>
    </row>
    <row r="56" spans="1:6" x14ac:dyDescent="0.2">
      <c r="A56" s="128" t="s">
        <v>388</v>
      </c>
      <c r="B56" s="129" t="s">
        <v>403</v>
      </c>
      <c r="C56" s="130">
        <v>6</v>
      </c>
      <c r="D56" s="130">
        <f>83000/12</f>
        <v>6916.666666666667</v>
      </c>
      <c r="E56" s="130">
        <v>6</v>
      </c>
      <c r="F56" s="130">
        <f>83000/12</f>
        <v>6916.666666666667</v>
      </c>
    </row>
    <row r="57" spans="1:6" x14ac:dyDescent="0.2">
      <c r="A57" s="128">
        <v>2</v>
      </c>
      <c r="B57" s="129" t="s">
        <v>404</v>
      </c>
      <c r="C57" s="130">
        <f>SUM(C58:C61)</f>
        <v>50</v>
      </c>
      <c r="D57" s="130">
        <f t="shared" ref="D57:F57" si="6">SUM(D58:D61)</f>
        <v>54404.5</v>
      </c>
      <c r="E57" s="130">
        <f>SUM(E58:E61)</f>
        <v>50</v>
      </c>
      <c r="F57" s="130">
        <f t="shared" si="6"/>
        <v>54404.5</v>
      </c>
    </row>
    <row r="58" spans="1:6" x14ac:dyDescent="0.2">
      <c r="A58" s="128" t="s">
        <v>405</v>
      </c>
      <c r="B58" s="129" t="s">
        <v>406</v>
      </c>
      <c r="C58" s="130">
        <v>7</v>
      </c>
      <c r="D58" s="130">
        <f>99852/12</f>
        <v>8321</v>
      </c>
      <c r="E58" s="130">
        <v>7</v>
      </c>
      <c r="F58" s="130">
        <f>99852/12</f>
        <v>8321</v>
      </c>
    </row>
    <row r="59" spans="1:6" x14ac:dyDescent="0.2">
      <c r="A59" s="128" t="s">
        <v>407</v>
      </c>
      <c r="B59" s="129" t="s">
        <v>408</v>
      </c>
      <c r="C59" s="130">
        <f>14+1+4-1</f>
        <v>18</v>
      </c>
      <c r="D59" s="130">
        <f>(165732+12840+42354)/12</f>
        <v>18410.5</v>
      </c>
      <c r="E59" s="130">
        <f>14+1+4-1</f>
        <v>18</v>
      </c>
      <c r="F59" s="130">
        <f>(165732+12840+42354)/12</f>
        <v>18410.5</v>
      </c>
    </row>
    <row r="60" spans="1:6" x14ac:dyDescent="0.2">
      <c r="A60" s="128" t="s">
        <v>409</v>
      </c>
      <c r="B60" s="129" t="s">
        <v>410</v>
      </c>
      <c r="C60" s="130">
        <v>7</v>
      </c>
      <c r="D60" s="130">
        <f>112100/12</f>
        <v>9341.6666666666661</v>
      </c>
      <c r="E60" s="130">
        <v>7</v>
      </c>
      <c r="F60" s="130">
        <f>112100/12</f>
        <v>9341.6666666666661</v>
      </c>
    </row>
    <row r="61" spans="1:6" x14ac:dyDescent="0.2">
      <c r="A61" s="128" t="s">
        <v>411</v>
      </c>
      <c r="B61" s="129" t="s">
        <v>412</v>
      </c>
      <c r="C61" s="130">
        <v>18</v>
      </c>
      <c r="D61" s="130">
        <f>219976/12</f>
        <v>18331.333333333332</v>
      </c>
      <c r="E61" s="130">
        <v>18</v>
      </c>
      <c r="F61" s="130">
        <f>219976/12</f>
        <v>18331.333333333332</v>
      </c>
    </row>
    <row r="62" spans="1:6" s="172" customFormat="1" x14ac:dyDescent="0.2">
      <c r="A62" s="125"/>
      <c r="B62" s="126" t="s">
        <v>413</v>
      </c>
      <c r="C62" s="131"/>
      <c r="D62" s="131"/>
      <c r="E62" s="131"/>
      <c r="F62" s="131"/>
    </row>
    <row r="63" spans="1:6" s="172" customFormat="1" x14ac:dyDescent="0.2">
      <c r="A63" s="125" t="s">
        <v>364</v>
      </c>
      <c r="B63" s="126" t="s">
        <v>365</v>
      </c>
      <c r="C63" s="131">
        <v>144</v>
      </c>
      <c r="D63" s="131">
        <f>1879896/12</f>
        <v>156658</v>
      </c>
      <c r="E63" s="131">
        <v>144</v>
      </c>
      <c r="F63" s="131">
        <f>1879896/12</f>
        <v>156658</v>
      </c>
    </row>
    <row r="64" spans="1:6" s="172" customFormat="1" x14ac:dyDescent="0.2">
      <c r="A64" s="125" t="s">
        <v>383</v>
      </c>
      <c r="B64" s="126" t="s">
        <v>384</v>
      </c>
      <c r="C64" s="131">
        <v>1</v>
      </c>
      <c r="D64" s="131">
        <f>14184/12</f>
        <v>1182</v>
      </c>
      <c r="E64" s="131">
        <v>1</v>
      </c>
      <c r="F64" s="131">
        <f>14184/12</f>
        <v>1182</v>
      </c>
    </row>
    <row r="65" spans="1:6" s="172" customFormat="1" x14ac:dyDescent="0.2">
      <c r="A65" s="125" t="s">
        <v>414</v>
      </c>
      <c r="B65" s="126" t="s">
        <v>381</v>
      </c>
      <c r="C65" s="131">
        <f>2+8</f>
        <v>10</v>
      </c>
      <c r="D65" s="131">
        <f>132650/12</f>
        <v>11054.166666666666</v>
      </c>
      <c r="E65" s="131">
        <f>2+8</f>
        <v>10</v>
      </c>
      <c r="F65" s="131">
        <f>132650/12</f>
        <v>11054.166666666666</v>
      </c>
    </row>
    <row r="66" spans="1:6" s="172" customFormat="1" x14ac:dyDescent="0.2">
      <c r="A66" s="125"/>
      <c r="B66" s="126" t="s">
        <v>415</v>
      </c>
      <c r="C66" s="131"/>
      <c r="D66" s="131"/>
      <c r="E66" s="131"/>
      <c r="F66" s="131"/>
    </row>
    <row r="67" spans="1:6" x14ac:dyDescent="0.2">
      <c r="A67" s="128">
        <v>1</v>
      </c>
      <c r="B67" s="129" t="s">
        <v>416</v>
      </c>
      <c r="C67" s="130">
        <v>3</v>
      </c>
      <c r="D67" s="130">
        <f>34932/12</f>
        <v>2911</v>
      </c>
      <c r="E67" s="130">
        <v>3</v>
      </c>
      <c r="F67" s="130">
        <f>34932/12</f>
        <v>2911</v>
      </c>
    </row>
    <row r="69" spans="1:6" x14ac:dyDescent="0.2">
      <c r="D69" s="174"/>
      <c r="F69" s="174"/>
    </row>
    <row r="70" spans="1:6" x14ac:dyDescent="0.2">
      <c r="B70" s="135" t="s">
        <v>417</v>
      </c>
    </row>
    <row r="74" spans="1:6" x14ac:dyDescent="0.2">
      <c r="A74" s="175" t="s">
        <v>215</v>
      </c>
    </row>
    <row r="75" spans="1:6" x14ac:dyDescent="0.2">
      <c r="A75" s="176" t="s">
        <v>216</v>
      </c>
      <c r="B75" s="137"/>
    </row>
    <row r="76" spans="1:6" s="141" customFormat="1" x14ac:dyDescent="0.2">
      <c r="A76" s="176"/>
      <c r="B76" s="139"/>
      <c r="C76" s="140"/>
      <c r="D76" s="140"/>
      <c r="E76" s="140"/>
      <c r="F76" s="140"/>
    </row>
    <row r="77" spans="1:6" s="141" customFormat="1" x14ac:dyDescent="0.2">
      <c r="A77" s="177" t="s">
        <v>217</v>
      </c>
      <c r="C77" s="140"/>
      <c r="D77" s="140"/>
      <c r="E77" s="140"/>
      <c r="F77" s="140"/>
    </row>
    <row r="78" spans="1:6" s="141" customFormat="1" x14ac:dyDescent="0.2">
      <c r="A78" s="175" t="s">
        <v>430</v>
      </c>
      <c r="C78" s="140"/>
      <c r="D78" s="142"/>
      <c r="E78" s="140"/>
      <c r="F78" s="142"/>
    </row>
    <row r="79" spans="1:6" s="141" customFormat="1" x14ac:dyDescent="0.2">
      <c r="A79" s="176" t="s">
        <v>431</v>
      </c>
      <c r="C79" s="140"/>
      <c r="D79" s="140"/>
      <c r="E79" s="140"/>
      <c r="F79" s="140"/>
    </row>
    <row r="80" spans="1:6" s="137" customFormat="1" x14ac:dyDescent="0.2">
      <c r="A80" s="176"/>
    </row>
    <row r="81" spans="1:6" s="139" customFormat="1" x14ac:dyDescent="0.2">
      <c r="A81" s="175" t="s">
        <v>344</v>
      </c>
    </row>
    <row r="82" spans="1:6" s="139" customFormat="1" x14ac:dyDescent="0.2">
      <c r="A82" s="176" t="s">
        <v>345</v>
      </c>
    </row>
    <row r="83" spans="1:6" s="141" customFormat="1" x14ac:dyDescent="0.2">
      <c r="A83" s="177"/>
      <c r="C83" s="144"/>
      <c r="D83" s="144"/>
      <c r="E83" s="144"/>
      <c r="F83" s="144"/>
    </row>
    <row r="84" spans="1:6" s="145" customFormat="1" x14ac:dyDescent="0.2">
      <c r="A84" s="175" t="s">
        <v>346</v>
      </c>
      <c r="C84" s="146"/>
      <c r="D84" s="147"/>
      <c r="E84" s="146"/>
      <c r="F84" s="147"/>
    </row>
    <row r="85" spans="1:6" x14ac:dyDescent="0.2">
      <c r="A85" s="176" t="s">
        <v>347</v>
      </c>
    </row>
    <row r="86" spans="1:6" s="150" customFormat="1" x14ac:dyDescent="0.2">
      <c r="A86" s="138"/>
    </row>
    <row r="87" spans="1:6" s="150" customFormat="1" x14ac:dyDescent="0.2">
      <c r="A87" s="138"/>
    </row>
    <row r="88" spans="1:6" s="145" customFormat="1" x14ac:dyDescent="0.2">
      <c r="A88" s="143" t="s">
        <v>222</v>
      </c>
      <c r="B88" s="148"/>
      <c r="C88" s="148"/>
      <c r="D88" s="148"/>
      <c r="E88" s="148"/>
      <c r="F88" s="148"/>
    </row>
    <row r="89" spans="1:6" s="141" customFormat="1" x14ac:dyDescent="0.2">
      <c r="A89" s="143" t="s">
        <v>418</v>
      </c>
      <c r="B89" s="149"/>
      <c r="C89" s="149"/>
      <c r="D89" s="149"/>
      <c r="E89" s="149"/>
      <c r="F89" s="149"/>
    </row>
    <row r="90" spans="1:6" s="178" customFormat="1" x14ac:dyDescent="0.2">
      <c r="A90" s="143" t="s">
        <v>419</v>
      </c>
    </row>
    <row r="91" spans="1:6" s="178" customFormat="1" x14ac:dyDescent="0.2">
      <c r="A91" s="179"/>
    </row>
    <row r="92" spans="1:6" x14ac:dyDescent="0.2">
      <c r="A92" s="163"/>
    </row>
    <row r="93" spans="1:6" x14ac:dyDescent="0.2">
      <c r="A93" s="180"/>
    </row>
    <row r="94" spans="1:6" x14ac:dyDescent="0.2">
      <c r="A94" s="163"/>
    </row>
    <row r="95" spans="1:6" x14ac:dyDescent="0.2">
      <c r="A95" s="164"/>
    </row>
    <row r="96" spans="1:6" x14ac:dyDescent="0.2">
      <c r="A96" s="164"/>
    </row>
    <row r="97" spans="1:1" x14ac:dyDescent="0.2">
      <c r="A97" s="163"/>
    </row>
    <row r="98" spans="1:1" x14ac:dyDescent="0.2">
      <c r="A98" s="164"/>
    </row>
    <row r="99" spans="1:1" x14ac:dyDescent="0.2">
      <c r="A99" s="164"/>
    </row>
    <row r="100" spans="1:1" x14ac:dyDescent="0.2">
      <c r="A100" s="163"/>
    </row>
    <row r="101" spans="1:1" x14ac:dyDescent="0.2">
      <c r="A101" s="164"/>
    </row>
    <row r="103" spans="1:1" x14ac:dyDescent="0.2">
      <c r="A103" s="180"/>
    </row>
    <row r="104" spans="1:1" x14ac:dyDescent="0.2">
      <c r="A104" s="180"/>
    </row>
    <row r="105" spans="1:1" x14ac:dyDescent="0.2">
      <c r="A105" s="180"/>
    </row>
    <row r="106" spans="1:1" x14ac:dyDescent="0.2">
      <c r="A106" s="180"/>
    </row>
  </sheetData>
  <mergeCells count="9">
    <mergeCell ref="C9:D9"/>
    <mergeCell ref="E9:F9"/>
    <mergeCell ref="C1:D1"/>
    <mergeCell ref="E1:F1"/>
    <mergeCell ref="A3:D3"/>
    <mergeCell ref="A5:D5"/>
    <mergeCell ref="A6:D6"/>
    <mergeCell ref="C8:D8"/>
    <mergeCell ref="E8:F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2" fitToWidth="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31032021</vt:lpstr>
      <vt:lpstr>Pril1</vt:lpstr>
      <vt:lpstr>Pril2-31003021</vt:lpstr>
      <vt:lpstr>Pril1!Печат_заглавия</vt:lpstr>
      <vt:lpstr>'Pril2-31003021'!Печат_заглавия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2021-04-16T07:07:51Z</cp:lastPrinted>
  <dcterms:created xsi:type="dcterms:W3CDTF">2021-03-11T11:40:15Z</dcterms:created>
  <dcterms:modified xsi:type="dcterms:W3CDTF">2021-04-16T10:59:08Z</dcterms:modified>
</cp:coreProperties>
</file>