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dget_c\Budget_2020\ZaVTOBS\30112020\"/>
    </mc:Choice>
  </mc:AlternateContent>
  <bookViews>
    <workbookView xWindow="0" yWindow="0" windowWidth="28800" windowHeight="11835"/>
  </bookViews>
  <sheets>
    <sheet name="ИП 30112020" sheetId="1" r:id="rId1"/>
  </sheets>
  <externalReferences>
    <externalReference r:id="rId2"/>
    <externalReference r:id="rId3"/>
  </externalReferences>
  <definedNames>
    <definedName name="_xlnm._FilterDatabase" localSheetId="0" hidden="1">'ИП 30112020'!$A$1:$XCA$490</definedName>
    <definedName name="GROUPS" localSheetId="0">[1]Groups!$A$1:$A$27</definedName>
    <definedName name="GROUPS">[2]Groups!$A$1:$A$27</definedName>
    <definedName name="GROUPS2" localSheetId="0">[1]Groups!$A$1:$B$27</definedName>
    <definedName name="GROUPS2">[2]Groups!$A$1:$B$27</definedName>
    <definedName name="OP_LIST" localSheetId="0">[1]list!$A$281:$A$304</definedName>
    <definedName name="OP_LIST">[2]list!$A$281:$A$304</definedName>
    <definedName name="OP_LIST2" localSheetId="0">[1]list!$A$281:$B$304</definedName>
    <definedName name="OP_LIST2">[2]list!$A$281:$B$304</definedName>
    <definedName name="PRBK" localSheetId="0">[1]list!$A$421:$B$709</definedName>
    <definedName name="PRBK">[2]list!$A$421:$B$709</definedName>
    <definedName name="_xlnm.Print_Titles" localSheetId="0">'ИП 30112020'!$7:$8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63" i="1" l="1"/>
  <c r="Y463" i="1"/>
  <c r="V463" i="1"/>
  <c r="S463" i="1"/>
  <c r="P463" i="1"/>
  <c r="M463" i="1"/>
  <c r="J463" i="1"/>
  <c r="G463" i="1"/>
  <c r="D463" i="1" s="1"/>
  <c r="C463" i="1"/>
  <c r="B463" i="1"/>
  <c r="AA462" i="1"/>
  <c r="Z462" i="1"/>
  <c r="Z461" i="1" s="1"/>
  <c r="X462" i="1"/>
  <c r="W462" i="1"/>
  <c r="U462" i="1"/>
  <c r="U461" i="1" s="1"/>
  <c r="T462" i="1"/>
  <c r="R462" i="1"/>
  <c r="Q462" i="1"/>
  <c r="P462" i="1"/>
  <c r="O462" i="1"/>
  <c r="N462" i="1"/>
  <c r="N461" i="1" s="1"/>
  <c r="N460" i="1" s="1"/>
  <c r="L462" i="1"/>
  <c r="K462" i="1"/>
  <c r="K461" i="1" s="1"/>
  <c r="K460" i="1" s="1"/>
  <c r="I462" i="1"/>
  <c r="H462" i="1"/>
  <c r="F462" i="1"/>
  <c r="E462" i="1"/>
  <c r="W461" i="1"/>
  <c r="W460" i="1" s="1"/>
  <c r="Q461" i="1"/>
  <c r="Q460" i="1" s="1"/>
  <c r="O461" i="1"/>
  <c r="I461" i="1"/>
  <c r="E461" i="1"/>
  <c r="Z460" i="1"/>
  <c r="AB459" i="1"/>
  <c r="Y459" i="1"/>
  <c r="V459" i="1"/>
  <c r="S459" i="1"/>
  <c r="P459" i="1"/>
  <c r="M459" i="1"/>
  <c r="J459" i="1"/>
  <c r="G459" i="1"/>
  <c r="C459" i="1"/>
  <c r="B459" i="1"/>
  <c r="AB458" i="1"/>
  <c r="AA458" i="1"/>
  <c r="Z458" i="1"/>
  <c r="Y458" i="1"/>
  <c r="V458" i="1"/>
  <c r="S458" i="1"/>
  <c r="P458" i="1"/>
  <c r="L458" i="1"/>
  <c r="K458" i="1"/>
  <c r="B458" i="1" s="1"/>
  <c r="J458" i="1"/>
  <c r="G458" i="1"/>
  <c r="AA457" i="1"/>
  <c r="Z457" i="1"/>
  <c r="Y457" i="1"/>
  <c r="V457" i="1"/>
  <c r="S457" i="1"/>
  <c r="P457" i="1"/>
  <c r="L457" i="1"/>
  <c r="K457" i="1"/>
  <c r="I457" i="1"/>
  <c r="J457" i="1" s="1"/>
  <c r="H457" i="1"/>
  <c r="G457" i="1"/>
  <c r="Z456" i="1"/>
  <c r="Z455" i="1" s="1"/>
  <c r="X456" i="1"/>
  <c r="W456" i="1"/>
  <c r="U456" i="1"/>
  <c r="T456" i="1"/>
  <c r="R456" i="1"/>
  <c r="S456" i="1" s="1"/>
  <c r="Q456" i="1"/>
  <c r="O456" i="1"/>
  <c r="N456" i="1"/>
  <c r="N455" i="1" s="1"/>
  <c r="L456" i="1"/>
  <c r="H456" i="1"/>
  <c r="F456" i="1"/>
  <c r="E456" i="1"/>
  <c r="E455" i="1" s="1"/>
  <c r="W455" i="1"/>
  <c r="U455" i="1"/>
  <c r="Q455" i="1"/>
  <c r="O455" i="1"/>
  <c r="P455" i="1" s="1"/>
  <c r="AA454" i="1"/>
  <c r="Z454" i="1"/>
  <c r="Y454" i="1"/>
  <c r="V454" i="1"/>
  <c r="S454" i="1"/>
  <c r="P454" i="1"/>
  <c r="L454" i="1"/>
  <c r="M454" i="1" s="1"/>
  <c r="K454" i="1"/>
  <c r="J454" i="1"/>
  <c r="G454" i="1"/>
  <c r="B454" i="1"/>
  <c r="AA453" i="1"/>
  <c r="X453" i="1"/>
  <c r="W453" i="1"/>
  <c r="U453" i="1"/>
  <c r="T453" i="1"/>
  <c r="R453" i="1"/>
  <c r="Q453" i="1"/>
  <c r="S453" i="1" s="1"/>
  <c r="O453" i="1"/>
  <c r="P453" i="1" s="1"/>
  <c r="N453" i="1"/>
  <c r="K453" i="1"/>
  <c r="I453" i="1"/>
  <c r="H453" i="1"/>
  <c r="F453" i="1"/>
  <c r="E453" i="1"/>
  <c r="AB452" i="1"/>
  <c r="Y452" i="1"/>
  <c r="V452" i="1"/>
  <c r="S452" i="1"/>
  <c r="P452" i="1"/>
  <c r="M452" i="1"/>
  <c r="J452" i="1"/>
  <c r="G452" i="1"/>
  <c r="D452" i="1"/>
  <c r="C452" i="1"/>
  <c r="B452" i="1"/>
  <c r="AA451" i="1"/>
  <c r="Z451" i="1"/>
  <c r="X451" i="1"/>
  <c r="W451" i="1"/>
  <c r="U451" i="1"/>
  <c r="T451" i="1"/>
  <c r="T450" i="1" s="1"/>
  <c r="R451" i="1"/>
  <c r="S451" i="1" s="1"/>
  <c r="Q451" i="1"/>
  <c r="O451" i="1"/>
  <c r="N451" i="1"/>
  <c r="L451" i="1"/>
  <c r="K451" i="1"/>
  <c r="I451" i="1"/>
  <c r="J451" i="1" s="1"/>
  <c r="H451" i="1"/>
  <c r="F451" i="1"/>
  <c r="E451" i="1"/>
  <c r="X450" i="1"/>
  <c r="R450" i="1"/>
  <c r="N450" i="1"/>
  <c r="H450" i="1"/>
  <c r="AB449" i="1"/>
  <c r="Y449" i="1"/>
  <c r="V449" i="1"/>
  <c r="S449" i="1"/>
  <c r="P449" i="1"/>
  <c r="M449" i="1"/>
  <c r="J449" i="1"/>
  <c r="G449" i="1"/>
  <c r="C449" i="1"/>
  <c r="B449" i="1"/>
  <c r="AA448" i="1"/>
  <c r="Z448" i="1"/>
  <c r="AB448" i="1" s="1"/>
  <c r="X448" i="1"/>
  <c r="W448" i="1"/>
  <c r="U448" i="1"/>
  <c r="T448" i="1"/>
  <c r="V448" i="1" s="1"/>
  <c r="R448" i="1"/>
  <c r="Q448" i="1"/>
  <c r="O448" i="1"/>
  <c r="P448" i="1" s="1"/>
  <c r="N448" i="1"/>
  <c r="L448" i="1"/>
  <c r="M448" i="1" s="1"/>
  <c r="K448" i="1"/>
  <c r="I448" i="1"/>
  <c r="H448" i="1"/>
  <c r="J448" i="1" s="1"/>
  <c r="F448" i="1"/>
  <c r="E448" i="1"/>
  <c r="AB447" i="1"/>
  <c r="Y447" i="1"/>
  <c r="V447" i="1"/>
  <c r="S447" i="1"/>
  <c r="P447" i="1"/>
  <c r="M447" i="1"/>
  <c r="J447" i="1"/>
  <c r="G447" i="1"/>
  <c r="C447" i="1"/>
  <c r="B447" i="1"/>
  <c r="AA446" i="1"/>
  <c r="Z446" i="1"/>
  <c r="Z445" i="1" s="1"/>
  <c r="X446" i="1"/>
  <c r="W446" i="1"/>
  <c r="U446" i="1"/>
  <c r="T446" i="1"/>
  <c r="T445" i="1" s="1"/>
  <c r="R446" i="1"/>
  <c r="Q446" i="1"/>
  <c r="O446" i="1"/>
  <c r="P446" i="1" s="1"/>
  <c r="N446" i="1"/>
  <c r="N445" i="1" s="1"/>
  <c r="L446" i="1"/>
  <c r="K446" i="1"/>
  <c r="I446" i="1"/>
  <c r="I445" i="1" s="1"/>
  <c r="H446" i="1"/>
  <c r="F446" i="1"/>
  <c r="E446" i="1"/>
  <c r="AA445" i="1"/>
  <c r="AB445" i="1" s="1"/>
  <c r="W445" i="1"/>
  <c r="U445" i="1"/>
  <c r="O445" i="1"/>
  <c r="P445" i="1" s="1"/>
  <c r="K445" i="1"/>
  <c r="E445" i="1"/>
  <c r="AB444" i="1"/>
  <c r="Y444" i="1"/>
  <c r="V444" i="1"/>
  <c r="S444" i="1"/>
  <c r="P444" i="1"/>
  <c r="M444" i="1"/>
  <c r="D444" i="1" s="1"/>
  <c r="J444" i="1"/>
  <c r="G444" i="1"/>
  <c r="C444" i="1"/>
  <c r="B444" i="1"/>
  <c r="AA443" i="1"/>
  <c r="Z443" i="1"/>
  <c r="X443" i="1"/>
  <c r="X442" i="1" s="1"/>
  <c r="W443" i="1"/>
  <c r="W442" i="1" s="1"/>
  <c r="U443" i="1"/>
  <c r="T443" i="1"/>
  <c r="R443" i="1"/>
  <c r="Q443" i="1"/>
  <c r="Q442" i="1" s="1"/>
  <c r="O443" i="1"/>
  <c r="N443" i="1"/>
  <c r="M443" i="1"/>
  <c r="L443" i="1"/>
  <c r="K443" i="1"/>
  <c r="K442" i="1" s="1"/>
  <c r="I443" i="1"/>
  <c r="H443" i="1"/>
  <c r="H442" i="1" s="1"/>
  <c r="F443" i="1"/>
  <c r="G443" i="1" s="1"/>
  <c r="E443" i="1"/>
  <c r="C443" i="1"/>
  <c r="Z442" i="1"/>
  <c r="T442" i="1"/>
  <c r="R442" i="1"/>
  <c r="N442" i="1"/>
  <c r="L442" i="1"/>
  <c r="M442" i="1" s="1"/>
  <c r="F442" i="1"/>
  <c r="AB441" i="1"/>
  <c r="Y441" i="1"/>
  <c r="V441" i="1"/>
  <c r="S441" i="1"/>
  <c r="P441" i="1"/>
  <c r="M441" i="1"/>
  <c r="J441" i="1"/>
  <c r="G441" i="1"/>
  <c r="C441" i="1"/>
  <c r="B441" i="1"/>
  <c r="AA440" i="1"/>
  <c r="Z440" i="1"/>
  <c r="Z439" i="1" s="1"/>
  <c r="X440" i="1"/>
  <c r="W440" i="1"/>
  <c r="U440" i="1"/>
  <c r="U439" i="1" s="1"/>
  <c r="T440" i="1"/>
  <c r="T439" i="1" s="1"/>
  <c r="R440" i="1"/>
  <c r="Q440" i="1"/>
  <c r="O440" i="1"/>
  <c r="O439" i="1" s="1"/>
  <c r="P439" i="1" s="1"/>
  <c r="N440" i="1"/>
  <c r="N439" i="1" s="1"/>
  <c r="L440" i="1"/>
  <c r="K440" i="1"/>
  <c r="J440" i="1"/>
  <c r="I440" i="1"/>
  <c r="I439" i="1" s="1"/>
  <c r="J439" i="1" s="1"/>
  <c r="H440" i="1"/>
  <c r="H439" i="1" s="1"/>
  <c r="F440" i="1"/>
  <c r="E440" i="1"/>
  <c r="W439" i="1"/>
  <c r="Q439" i="1"/>
  <c r="K439" i="1"/>
  <c r="E439" i="1"/>
  <c r="AB438" i="1"/>
  <c r="Y438" i="1"/>
  <c r="V438" i="1"/>
  <c r="S438" i="1"/>
  <c r="P438" i="1"/>
  <c r="M438" i="1"/>
  <c r="J438" i="1"/>
  <c r="G438" i="1"/>
  <c r="D438" i="1" s="1"/>
  <c r="C438" i="1"/>
  <c r="B438" i="1"/>
  <c r="AA437" i="1"/>
  <c r="AB437" i="1" s="1"/>
  <c r="Z437" i="1"/>
  <c r="X437" i="1"/>
  <c r="W437" i="1"/>
  <c r="U437" i="1"/>
  <c r="T437" i="1"/>
  <c r="R437" i="1"/>
  <c r="Q437" i="1"/>
  <c r="S437" i="1" s="1"/>
  <c r="O437" i="1"/>
  <c r="N437" i="1"/>
  <c r="L437" i="1"/>
  <c r="K437" i="1"/>
  <c r="M437" i="1" s="1"/>
  <c r="I437" i="1"/>
  <c r="H437" i="1"/>
  <c r="F437" i="1"/>
  <c r="G437" i="1" s="1"/>
  <c r="E437" i="1"/>
  <c r="AB436" i="1"/>
  <c r="Y436" i="1"/>
  <c r="V436" i="1"/>
  <c r="S436" i="1"/>
  <c r="P436" i="1"/>
  <c r="M436" i="1"/>
  <c r="J436" i="1"/>
  <c r="D436" i="1" s="1"/>
  <c r="G436" i="1"/>
  <c r="C436" i="1"/>
  <c r="B436" i="1"/>
  <c r="AB435" i="1"/>
  <c r="Y435" i="1"/>
  <c r="V435" i="1"/>
  <c r="S435" i="1"/>
  <c r="P435" i="1"/>
  <c r="L435" i="1"/>
  <c r="K435" i="1"/>
  <c r="J435" i="1"/>
  <c r="G435" i="1"/>
  <c r="C435" i="1"/>
  <c r="B435" i="1"/>
  <c r="AA434" i="1"/>
  <c r="Z434" i="1"/>
  <c r="AB434" i="1" s="1"/>
  <c r="X434" i="1"/>
  <c r="W434" i="1"/>
  <c r="U434" i="1"/>
  <c r="V434" i="1" s="1"/>
  <c r="T434" i="1"/>
  <c r="R434" i="1"/>
  <c r="S434" i="1" s="1"/>
  <c r="Q434" i="1"/>
  <c r="O434" i="1"/>
  <c r="P434" i="1" s="1"/>
  <c r="N434" i="1"/>
  <c r="N433" i="1" s="1"/>
  <c r="L434" i="1"/>
  <c r="I434" i="1"/>
  <c r="H434" i="1"/>
  <c r="F434" i="1"/>
  <c r="G434" i="1" s="1"/>
  <c r="E434" i="1"/>
  <c r="X433" i="1"/>
  <c r="U433" i="1"/>
  <c r="V433" i="1" s="1"/>
  <c r="T433" i="1"/>
  <c r="L433" i="1"/>
  <c r="H433" i="1"/>
  <c r="E433" i="1"/>
  <c r="AB432" i="1"/>
  <c r="Y432" i="1"/>
  <c r="V432" i="1"/>
  <c r="S432" i="1"/>
  <c r="P432" i="1"/>
  <c r="M432" i="1"/>
  <c r="J432" i="1"/>
  <c r="G432" i="1"/>
  <c r="D432" i="1" s="1"/>
  <c r="C432" i="1"/>
  <c r="B432" i="1"/>
  <c r="AA431" i="1"/>
  <c r="Z431" i="1"/>
  <c r="X431" i="1"/>
  <c r="Y431" i="1" s="1"/>
  <c r="W431" i="1"/>
  <c r="W430" i="1" s="1"/>
  <c r="V431" i="1"/>
  <c r="U431" i="1"/>
  <c r="T431" i="1"/>
  <c r="T430" i="1" s="1"/>
  <c r="R431" i="1"/>
  <c r="S431" i="1" s="1"/>
  <c r="Q431" i="1"/>
  <c r="O431" i="1"/>
  <c r="N431" i="1"/>
  <c r="L431" i="1"/>
  <c r="K431" i="1"/>
  <c r="I431" i="1"/>
  <c r="H431" i="1"/>
  <c r="F431" i="1"/>
  <c r="G431" i="1" s="1"/>
  <c r="E431" i="1"/>
  <c r="C431" i="1"/>
  <c r="Z430" i="1"/>
  <c r="V430" i="1"/>
  <c r="U430" i="1"/>
  <c r="R430" i="1"/>
  <c r="Q430" i="1"/>
  <c r="N430" i="1"/>
  <c r="I430" i="1"/>
  <c r="F430" i="1"/>
  <c r="E430" i="1"/>
  <c r="AB429" i="1"/>
  <c r="Y429" i="1"/>
  <c r="V429" i="1"/>
  <c r="S429" i="1"/>
  <c r="P429" i="1"/>
  <c r="M429" i="1"/>
  <c r="J429" i="1"/>
  <c r="D429" i="1" s="1"/>
  <c r="G429" i="1"/>
  <c r="C429" i="1"/>
  <c r="B429" i="1"/>
  <c r="AA428" i="1"/>
  <c r="Z428" i="1"/>
  <c r="X428" i="1"/>
  <c r="W428" i="1"/>
  <c r="U428" i="1"/>
  <c r="T428" i="1"/>
  <c r="R428" i="1"/>
  <c r="Q428" i="1"/>
  <c r="O428" i="1"/>
  <c r="N428" i="1"/>
  <c r="P428" i="1" s="1"/>
  <c r="L428" i="1"/>
  <c r="K428" i="1"/>
  <c r="I428" i="1"/>
  <c r="H428" i="1"/>
  <c r="F428" i="1"/>
  <c r="G428" i="1" s="1"/>
  <c r="E428" i="1"/>
  <c r="C428" i="1"/>
  <c r="AB427" i="1"/>
  <c r="Y427" i="1"/>
  <c r="V427" i="1"/>
  <c r="S427" i="1"/>
  <c r="P427" i="1"/>
  <c r="M427" i="1"/>
  <c r="J427" i="1"/>
  <c r="G427" i="1"/>
  <c r="C427" i="1"/>
  <c r="B427" i="1"/>
  <c r="AB426" i="1"/>
  <c r="Y426" i="1"/>
  <c r="V426" i="1"/>
  <c r="S426" i="1"/>
  <c r="P426" i="1"/>
  <c r="M426" i="1"/>
  <c r="J426" i="1"/>
  <c r="G426" i="1"/>
  <c r="C426" i="1"/>
  <c r="B426" i="1"/>
  <c r="AB425" i="1"/>
  <c r="Y425" i="1"/>
  <c r="V425" i="1"/>
  <c r="S425" i="1"/>
  <c r="P425" i="1"/>
  <c r="M425" i="1"/>
  <c r="J425" i="1"/>
  <c r="G425" i="1"/>
  <c r="D425" i="1" s="1"/>
  <c r="C425" i="1"/>
  <c r="B425" i="1"/>
  <c r="AB424" i="1"/>
  <c r="Y424" i="1"/>
  <c r="V424" i="1"/>
  <c r="S424" i="1"/>
  <c r="P424" i="1"/>
  <c r="M424" i="1"/>
  <c r="L424" i="1"/>
  <c r="K424" i="1"/>
  <c r="J424" i="1"/>
  <c r="G424" i="1"/>
  <c r="C424" i="1"/>
  <c r="B424" i="1"/>
  <c r="AB423" i="1"/>
  <c r="Y423" i="1"/>
  <c r="V423" i="1"/>
  <c r="S423" i="1"/>
  <c r="P423" i="1"/>
  <c r="L423" i="1"/>
  <c r="K423" i="1"/>
  <c r="J423" i="1"/>
  <c r="G423" i="1"/>
  <c r="C423" i="1"/>
  <c r="B423" i="1"/>
  <c r="AB422" i="1"/>
  <c r="Y422" i="1"/>
  <c r="V422" i="1"/>
  <c r="S422" i="1"/>
  <c r="P422" i="1"/>
  <c r="M422" i="1"/>
  <c r="J422" i="1"/>
  <c r="G422" i="1"/>
  <c r="C422" i="1"/>
  <c r="B422" i="1"/>
  <c r="AB421" i="1"/>
  <c r="Y421" i="1"/>
  <c r="V421" i="1"/>
  <c r="S421" i="1"/>
  <c r="P421" i="1"/>
  <c r="M421" i="1"/>
  <c r="J421" i="1"/>
  <c r="G421" i="1"/>
  <c r="C421" i="1"/>
  <c r="B421" i="1"/>
  <c r="AA420" i="1"/>
  <c r="Z420" i="1"/>
  <c r="X420" i="1"/>
  <c r="X419" i="1" s="1"/>
  <c r="W420" i="1"/>
  <c r="U420" i="1"/>
  <c r="T420" i="1"/>
  <c r="T419" i="1" s="1"/>
  <c r="R420" i="1"/>
  <c r="S420" i="1" s="1"/>
  <c r="Q420" i="1"/>
  <c r="Q419" i="1" s="1"/>
  <c r="O420" i="1"/>
  <c r="O419" i="1" s="1"/>
  <c r="N420" i="1"/>
  <c r="K420" i="1"/>
  <c r="I420" i="1"/>
  <c r="H420" i="1"/>
  <c r="F420" i="1"/>
  <c r="E420" i="1"/>
  <c r="AA419" i="1"/>
  <c r="N419" i="1"/>
  <c r="K419" i="1"/>
  <c r="F419" i="1"/>
  <c r="AB417" i="1"/>
  <c r="Y417" i="1"/>
  <c r="V417" i="1"/>
  <c r="R417" i="1"/>
  <c r="S417" i="1" s="1"/>
  <c r="Q417" i="1"/>
  <c r="P417" i="1"/>
  <c r="M417" i="1"/>
  <c r="J417" i="1"/>
  <c r="D417" i="1" s="1"/>
  <c r="G417" i="1"/>
  <c r="B417" i="1"/>
  <c r="AA416" i="1"/>
  <c r="Z416" i="1"/>
  <c r="X416" i="1"/>
  <c r="Y416" i="1" s="1"/>
  <c r="W416" i="1"/>
  <c r="U416" i="1"/>
  <c r="T416" i="1"/>
  <c r="Q416" i="1"/>
  <c r="O416" i="1"/>
  <c r="N416" i="1"/>
  <c r="L416" i="1"/>
  <c r="K416" i="1"/>
  <c r="M416" i="1" s="1"/>
  <c r="I416" i="1"/>
  <c r="J416" i="1" s="1"/>
  <c r="H416" i="1"/>
  <c r="F416" i="1"/>
  <c r="E416" i="1"/>
  <c r="AB415" i="1"/>
  <c r="Y415" i="1"/>
  <c r="V415" i="1"/>
  <c r="S415" i="1"/>
  <c r="P415" i="1"/>
  <c r="M415" i="1"/>
  <c r="J415" i="1"/>
  <c r="G415" i="1"/>
  <c r="C415" i="1"/>
  <c r="B415" i="1"/>
  <c r="AB414" i="1"/>
  <c r="Y414" i="1"/>
  <c r="V414" i="1"/>
  <c r="S414" i="1"/>
  <c r="P414" i="1"/>
  <c r="M414" i="1"/>
  <c r="J414" i="1"/>
  <c r="G414" i="1"/>
  <c r="D414" i="1"/>
  <c r="C414" i="1"/>
  <c r="B414" i="1"/>
  <c r="AA413" i="1"/>
  <c r="Z413" i="1"/>
  <c r="X413" i="1"/>
  <c r="W413" i="1"/>
  <c r="U413" i="1"/>
  <c r="V413" i="1" s="1"/>
  <c r="T413" i="1"/>
  <c r="R413" i="1"/>
  <c r="S413" i="1" s="1"/>
  <c r="Q413" i="1"/>
  <c r="O413" i="1"/>
  <c r="P413" i="1" s="1"/>
  <c r="N413" i="1"/>
  <c r="L413" i="1"/>
  <c r="M413" i="1" s="1"/>
  <c r="K413" i="1"/>
  <c r="J413" i="1"/>
  <c r="I413" i="1"/>
  <c r="H413" i="1"/>
  <c r="F413" i="1"/>
  <c r="E413" i="1"/>
  <c r="AB412" i="1"/>
  <c r="Y412" i="1"/>
  <c r="V412" i="1"/>
  <c r="S412" i="1"/>
  <c r="P412" i="1"/>
  <c r="M412" i="1"/>
  <c r="J412" i="1"/>
  <c r="G412" i="1"/>
  <c r="D412" i="1" s="1"/>
  <c r="C412" i="1"/>
  <c r="B412" i="1"/>
  <c r="AA411" i="1"/>
  <c r="Z411" i="1"/>
  <c r="AB411" i="1" s="1"/>
  <c r="X411" i="1"/>
  <c r="Y411" i="1" s="1"/>
  <c r="W411" i="1"/>
  <c r="V411" i="1"/>
  <c r="U411" i="1"/>
  <c r="T411" i="1"/>
  <c r="R411" i="1"/>
  <c r="Q411" i="1"/>
  <c r="O411" i="1"/>
  <c r="N411" i="1"/>
  <c r="P411" i="1" s="1"/>
  <c r="L411" i="1"/>
  <c r="M411" i="1" s="1"/>
  <c r="K411" i="1"/>
  <c r="I411" i="1"/>
  <c r="J411" i="1" s="1"/>
  <c r="H411" i="1"/>
  <c r="F411" i="1"/>
  <c r="E411" i="1"/>
  <c r="AB410" i="1"/>
  <c r="Y410" i="1"/>
  <c r="V410" i="1"/>
  <c r="S410" i="1"/>
  <c r="P410" i="1"/>
  <c r="M410" i="1"/>
  <c r="J410" i="1"/>
  <c r="G410" i="1"/>
  <c r="C410" i="1"/>
  <c r="B410" i="1"/>
  <c r="AB409" i="1"/>
  <c r="Y409" i="1"/>
  <c r="V409" i="1"/>
  <c r="S409" i="1"/>
  <c r="P409" i="1"/>
  <c r="M409" i="1"/>
  <c r="J409" i="1"/>
  <c r="G409" i="1"/>
  <c r="C409" i="1"/>
  <c r="B409" i="1"/>
  <c r="AB408" i="1"/>
  <c r="Y408" i="1"/>
  <c r="V408" i="1"/>
  <c r="S408" i="1"/>
  <c r="P408" i="1"/>
  <c r="M408" i="1"/>
  <c r="J408" i="1"/>
  <c r="G408" i="1"/>
  <c r="C408" i="1"/>
  <c r="B408" i="1"/>
  <c r="AA407" i="1"/>
  <c r="Z407" i="1"/>
  <c r="X407" i="1"/>
  <c r="W407" i="1"/>
  <c r="Y407" i="1" s="1"/>
  <c r="U407" i="1"/>
  <c r="V407" i="1" s="1"/>
  <c r="T407" i="1"/>
  <c r="R407" i="1"/>
  <c r="Q407" i="1"/>
  <c r="O407" i="1"/>
  <c r="N407" i="1"/>
  <c r="M407" i="1"/>
  <c r="L407" i="1"/>
  <c r="K407" i="1"/>
  <c r="I407" i="1"/>
  <c r="H407" i="1"/>
  <c r="F407" i="1"/>
  <c r="E407" i="1"/>
  <c r="AB406" i="1"/>
  <c r="Y406" i="1"/>
  <c r="V406" i="1"/>
  <c r="S406" i="1"/>
  <c r="P406" i="1"/>
  <c r="M406" i="1"/>
  <c r="J406" i="1"/>
  <c r="G406" i="1"/>
  <c r="C406" i="1"/>
  <c r="B406" i="1"/>
  <c r="AA405" i="1"/>
  <c r="Z405" i="1"/>
  <c r="X405" i="1"/>
  <c r="W405" i="1"/>
  <c r="U405" i="1"/>
  <c r="T405" i="1"/>
  <c r="R405" i="1"/>
  <c r="S405" i="1" s="1"/>
  <c r="Q405" i="1"/>
  <c r="O405" i="1"/>
  <c r="N405" i="1"/>
  <c r="P405" i="1" s="1"/>
  <c r="L405" i="1"/>
  <c r="K405" i="1"/>
  <c r="I405" i="1"/>
  <c r="H405" i="1"/>
  <c r="J405" i="1" s="1"/>
  <c r="G405" i="1"/>
  <c r="F405" i="1"/>
  <c r="E405" i="1"/>
  <c r="AB404" i="1"/>
  <c r="Y404" i="1"/>
  <c r="V404" i="1"/>
  <c r="S404" i="1"/>
  <c r="P404" i="1"/>
  <c r="M404" i="1"/>
  <c r="J404" i="1"/>
  <c r="G404" i="1"/>
  <c r="C404" i="1"/>
  <c r="B404" i="1"/>
  <c r="AB403" i="1"/>
  <c r="Y403" i="1"/>
  <c r="V403" i="1"/>
  <c r="S403" i="1"/>
  <c r="P403" i="1"/>
  <c r="M403" i="1"/>
  <c r="J403" i="1"/>
  <c r="G403" i="1"/>
  <c r="D403" i="1" s="1"/>
  <c r="C403" i="1"/>
  <c r="B403" i="1"/>
  <c r="AA402" i="1"/>
  <c r="AB402" i="1" s="1"/>
  <c r="Z402" i="1"/>
  <c r="X402" i="1"/>
  <c r="Y402" i="1" s="1"/>
  <c r="W402" i="1"/>
  <c r="U402" i="1"/>
  <c r="T402" i="1"/>
  <c r="S402" i="1"/>
  <c r="R402" i="1"/>
  <c r="Q402" i="1"/>
  <c r="O402" i="1"/>
  <c r="N402" i="1"/>
  <c r="L402" i="1"/>
  <c r="M402" i="1" s="1"/>
  <c r="K402" i="1"/>
  <c r="K401" i="1" s="1"/>
  <c r="I402" i="1"/>
  <c r="H402" i="1"/>
  <c r="J402" i="1" s="1"/>
  <c r="G402" i="1"/>
  <c r="F402" i="1"/>
  <c r="F401" i="1" s="1"/>
  <c r="E402" i="1"/>
  <c r="C402" i="1"/>
  <c r="AB400" i="1"/>
  <c r="Y400" i="1"/>
  <c r="V400" i="1"/>
  <c r="S400" i="1"/>
  <c r="P400" i="1"/>
  <c r="L400" i="1"/>
  <c r="M400" i="1" s="1"/>
  <c r="K400" i="1"/>
  <c r="K399" i="1" s="1"/>
  <c r="J400" i="1"/>
  <c r="G400" i="1"/>
  <c r="C400" i="1"/>
  <c r="AA399" i="1"/>
  <c r="AB399" i="1" s="1"/>
  <c r="Z399" i="1"/>
  <c r="X399" i="1"/>
  <c r="W399" i="1"/>
  <c r="U399" i="1"/>
  <c r="T399" i="1"/>
  <c r="V399" i="1" s="1"/>
  <c r="R399" i="1"/>
  <c r="S399" i="1" s="1"/>
  <c r="Q399" i="1"/>
  <c r="O399" i="1"/>
  <c r="N399" i="1"/>
  <c r="J399" i="1"/>
  <c r="I399" i="1"/>
  <c r="H399" i="1"/>
  <c r="F399" i="1"/>
  <c r="G399" i="1" s="1"/>
  <c r="E399" i="1"/>
  <c r="AB398" i="1"/>
  <c r="Y398" i="1"/>
  <c r="V398" i="1"/>
  <c r="S398" i="1"/>
  <c r="P398" i="1"/>
  <c r="M398" i="1"/>
  <c r="J398" i="1"/>
  <c r="G398" i="1"/>
  <c r="C398" i="1"/>
  <c r="B398" i="1"/>
  <c r="AB397" i="1"/>
  <c r="Y397" i="1"/>
  <c r="V397" i="1"/>
  <c r="S397" i="1"/>
  <c r="P397" i="1"/>
  <c r="M397" i="1"/>
  <c r="J397" i="1"/>
  <c r="G397" i="1"/>
  <c r="D397" i="1"/>
  <c r="C397" i="1"/>
  <c r="B397" i="1"/>
  <c r="AB396" i="1"/>
  <c r="Y396" i="1"/>
  <c r="V396" i="1"/>
  <c r="S396" i="1"/>
  <c r="P396" i="1"/>
  <c r="M396" i="1"/>
  <c r="L396" i="1"/>
  <c r="J396" i="1"/>
  <c r="F396" i="1"/>
  <c r="E396" i="1"/>
  <c r="B396" i="1" s="1"/>
  <c r="AB395" i="1"/>
  <c r="Y395" i="1"/>
  <c r="V395" i="1"/>
  <c r="S395" i="1"/>
  <c r="P395" i="1"/>
  <c r="M395" i="1"/>
  <c r="J395" i="1"/>
  <c r="G395" i="1"/>
  <c r="C395" i="1"/>
  <c r="B395" i="1"/>
  <c r="AB394" i="1"/>
  <c r="AA394" i="1"/>
  <c r="Z394" i="1"/>
  <c r="X394" i="1"/>
  <c r="W394" i="1"/>
  <c r="U394" i="1"/>
  <c r="T394" i="1"/>
  <c r="R394" i="1"/>
  <c r="Q394" i="1"/>
  <c r="S394" i="1" s="1"/>
  <c r="O394" i="1"/>
  <c r="P394" i="1" s="1"/>
  <c r="N394" i="1"/>
  <c r="L394" i="1"/>
  <c r="M394" i="1" s="1"/>
  <c r="K394" i="1"/>
  <c r="I394" i="1"/>
  <c r="H394" i="1"/>
  <c r="E394" i="1"/>
  <c r="AB393" i="1"/>
  <c r="Y393" i="1"/>
  <c r="V393" i="1"/>
  <c r="S393" i="1"/>
  <c r="P393" i="1"/>
  <c r="M393" i="1"/>
  <c r="J393" i="1"/>
  <c r="G393" i="1"/>
  <c r="C393" i="1"/>
  <c r="B393" i="1"/>
  <c r="AB392" i="1"/>
  <c r="Y392" i="1"/>
  <c r="V392" i="1"/>
  <c r="S392" i="1"/>
  <c r="P392" i="1"/>
  <c r="M392" i="1"/>
  <c r="J392" i="1"/>
  <c r="G392" i="1"/>
  <c r="C392" i="1"/>
  <c r="B392" i="1"/>
  <c r="AB391" i="1"/>
  <c r="Y391" i="1"/>
  <c r="V391" i="1"/>
  <c r="S391" i="1"/>
  <c r="P391" i="1"/>
  <c r="M391" i="1"/>
  <c r="J391" i="1"/>
  <c r="G391" i="1"/>
  <c r="D391" i="1" s="1"/>
  <c r="C391" i="1"/>
  <c r="B391" i="1"/>
  <c r="AB390" i="1"/>
  <c r="Y390" i="1"/>
  <c r="V390" i="1"/>
  <c r="S390" i="1"/>
  <c r="P390" i="1"/>
  <c r="M390" i="1"/>
  <c r="J390" i="1"/>
  <c r="G390" i="1"/>
  <c r="C390" i="1"/>
  <c r="B390" i="1"/>
  <c r="AB389" i="1"/>
  <c r="Y389" i="1"/>
  <c r="V389" i="1"/>
  <c r="S389" i="1"/>
  <c r="P389" i="1"/>
  <c r="M389" i="1"/>
  <c r="J389" i="1"/>
  <c r="G389" i="1"/>
  <c r="C389" i="1"/>
  <c r="B389" i="1"/>
  <c r="AA388" i="1"/>
  <c r="AB388" i="1" s="1"/>
  <c r="Z388" i="1"/>
  <c r="X388" i="1"/>
  <c r="W388" i="1"/>
  <c r="Y388" i="1" s="1"/>
  <c r="V388" i="1"/>
  <c r="U388" i="1"/>
  <c r="T388" i="1"/>
  <c r="R388" i="1"/>
  <c r="Q388" i="1"/>
  <c r="O388" i="1"/>
  <c r="P388" i="1" s="1"/>
  <c r="N388" i="1"/>
  <c r="L388" i="1"/>
  <c r="K388" i="1"/>
  <c r="I388" i="1"/>
  <c r="H388" i="1"/>
  <c r="J388" i="1" s="1"/>
  <c r="F388" i="1"/>
  <c r="E388" i="1"/>
  <c r="AB387" i="1"/>
  <c r="Y387" i="1"/>
  <c r="V387" i="1"/>
  <c r="S387" i="1"/>
  <c r="P387" i="1"/>
  <c r="M387" i="1"/>
  <c r="J387" i="1"/>
  <c r="G387" i="1"/>
  <c r="C387" i="1"/>
  <c r="B387" i="1"/>
  <c r="AB386" i="1"/>
  <c r="Y386" i="1"/>
  <c r="V386" i="1"/>
  <c r="S386" i="1"/>
  <c r="P386" i="1"/>
  <c r="M386" i="1"/>
  <c r="J386" i="1"/>
  <c r="D386" i="1" s="1"/>
  <c r="G386" i="1"/>
  <c r="C386" i="1"/>
  <c r="B386" i="1"/>
  <c r="AA385" i="1"/>
  <c r="AB385" i="1" s="1"/>
  <c r="Z385" i="1"/>
  <c r="X385" i="1"/>
  <c r="W385" i="1"/>
  <c r="U385" i="1"/>
  <c r="T385" i="1"/>
  <c r="R385" i="1"/>
  <c r="S385" i="1" s="1"/>
  <c r="Q385" i="1"/>
  <c r="O385" i="1"/>
  <c r="P385" i="1" s="1"/>
  <c r="N385" i="1"/>
  <c r="L385" i="1"/>
  <c r="M385" i="1" s="1"/>
  <c r="K385" i="1"/>
  <c r="I385" i="1"/>
  <c r="H385" i="1"/>
  <c r="G385" i="1"/>
  <c r="F385" i="1"/>
  <c r="C385" i="1" s="1"/>
  <c r="E385" i="1"/>
  <c r="AB384" i="1"/>
  <c r="Y384" i="1"/>
  <c r="V384" i="1"/>
  <c r="S384" i="1"/>
  <c r="P384" i="1"/>
  <c r="M384" i="1"/>
  <c r="J384" i="1"/>
  <c r="G384" i="1"/>
  <c r="C384" i="1"/>
  <c r="B384" i="1"/>
  <c r="AB383" i="1"/>
  <c r="Y383" i="1"/>
  <c r="V383" i="1"/>
  <c r="S383" i="1"/>
  <c r="P383" i="1"/>
  <c r="M383" i="1"/>
  <c r="J383" i="1"/>
  <c r="G383" i="1"/>
  <c r="C383" i="1"/>
  <c r="B383" i="1"/>
  <c r="AB382" i="1"/>
  <c r="Y382" i="1"/>
  <c r="V382" i="1"/>
  <c r="S382" i="1"/>
  <c r="P382" i="1"/>
  <c r="L382" i="1"/>
  <c r="K382" i="1"/>
  <c r="M382" i="1" s="1"/>
  <c r="J382" i="1"/>
  <c r="G382" i="1"/>
  <c r="C382" i="1"/>
  <c r="B382" i="1"/>
  <c r="AB381" i="1"/>
  <c r="Y381" i="1"/>
  <c r="V381" i="1"/>
  <c r="S381" i="1"/>
  <c r="P381" i="1"/>
  <c r="M381" i="1"/>
  <c r="J381" i="1"/>
  <c r="G381" i="1"/>
  <c r="C381" i="1"/>
  <c r="B381" i="1"/>
  <c r="AA380" i="1"/>
  <c r="AB380" i="1" s="1"/>
  <c r="Z380" i="1"/>
  <c r="Y380" i="1"/>
  <c r="V380" i="1"/>
  <c r="S380" i="1"/>
  <c r="O380" i="1"/>
  <c r="N380" i="1"/>
  <c r="N377" i="1" s="1"/>
  <c r="L380" i="1"/>
  <c r="K380" i="1"/>
  <c r="J380" i="1"/>
  <c r="G380" i="1"/>
  <c r="AB379" i="1"/>
  <c r="Y379" i="1"/>
  <c r="V379" i="1"/>
  <c r="S379" i="1"/>
  <c r="O379" i="1"/>
  <c r="P379" i="1" s="1"/>
  <c r="L379" i="1"/>
  <c r="K379" i="1"/>
  <c r="B379" i="1" s="1"/>
  <c r="J379" i="1"/>
  <c r="G379" i="1"/>
  <c r="AB378" i="1"/>
  <c r="Y378" i="1"/>
  <c r="V378" i="1"/>
  <c r="S378" i="1"/>
  <c r="P378" i="1"/>
  <c r="M378" i="1"/>
  <c r="L378" i="1"/>
  <c r="C378" i="1" s="1"/>
  <c r="K378" i="1"/>
  <c r="J378" i="1"/>
  <c r="G378" i="1"/>
  <c r="B378" i="1"/>
  <c r="AA377" i="1"/>
  <c r="AB377" i="1" s="1"/>
  <c r="Z377" i="1"/>
  <c r="X377" i="1"/>
  <c r="W377" i="1"/>
  <c r="Y377" i="1" s="1"/>
  <c r="U377" i="1"/>
  <c r="T377" i="1"/>
  <c r="R377" i="1"/>
  <c r="Q377" i="1"/>
  <c r="I377" i="1"/>
  <c r="H377" i="1"/>
  <c r="F377" i="1"/>
  <c r="E377" i="1"/>
  <c r="AB376" i="1"/>
  <c r="Y376" i="1"/>
  <c r="V376" i="1"/>
  <c r="S376" i="1"/>
  <c r="P376" i="1"/>
  <c r="M376" i="1"/>
  <c r="J376" i="1"/>
  <c r="G376" i="1"/>
  <c r="C376" i="1"/>
  <c r="B376" i="1"/>
  <c r="AA375" i="1"/>
  <c r="Z375" i="1"/>
  <c r="X375" i="1"/>
  <c r="W375" i="1"/>
  <c r="V375" i="1"/>
  <c r="U375" i="1"/>
  <c r="T375" i="1"/>
  <c r="R375" i="1"/>
  <c r="Q375" i="1"/>
  <c r="O375" i="1"/>
  <c r="N375" i="1"/>
  <c r="L375" i="1"/>
  <c r="K375" i="1"/>
  <c r="I375" i="1"/>
  <c r="J375" i="1" s="1"/>
  <c r="H375" i="1"/>
  <c r="F375" i="1"/>
  <c r="E375" i="1"/>
  <c r="AB374" i="1"/>
  <c r="Y374" i="1"/>
  <c r="V374" i="1"/>
  <c r="S374" i="1"/>
  <c r="O374" i="1"/>
  <c r="N374" i="1"/>
  <c r="M374" i="1"/>
  <c r="J374" i="1"/>
  <c r="G374" i="1"/>
  <c r="AB373" i="1"/>
  <c r="Y373" i="1"/>
  <c r="V373" i="1"/>
  <c r="S373" i="1"/>
  <c r="P373" i="1"/>
  <c r="M373" i="1"/>
  <c r="J373" i="1"/>
  <c r="G373" i="1"/>
  <c r="C373" i="1"/>
  <c r="B373" i="1"/>
  <c r="AB372" i="1"/>
  <c r="Y372" i="1"/>
  <c r="V372" i="1"/>
  <c r="S372" i="1"/>
  <c r="P372" i="1"/>
  <c r="M372" i="1"/>
  <c r="J372" i="1"/>
  <c r="G372" i="1"/>
  <c r="C372" i="1"/>
  <c r="B372" i="1"/>
  <c r="AB371" i="1"/>
  <c r="Y371" i="1"/>
  <c r="V371" i="1"/>
  <c r="S371" i="1"/>
  <c r="P371" i="1"/>
  <c r="M371" i="1"/>
  <c r="J371" i="1"/>
  <c r="G371" i="1"/>
  <c r="C371" i="1"/>
  <c r="B371" i="1"/>
  <c r="AB370" i="1"/>
  <c r="Y370" i="1"/>
  <c r="V370" i="1"/>
  <c r="S370" i="1"/>
  <c r="P370" i="1"/>
  <c r="M370" i="1"/>
  <c r="J370" i="1"/>
  <c r="G370" i="1"/>
  <c r="D370" i="1"/>
  <c r="C370" i="1"/>
  <c r="B370" i="1"/>
  <c r="AB369" i="1"/>
  <c r="Y369" i="1"/>
  <c r="V369" i="1"/>
  <c r="S369" i="1"/>
  <c r="P369" i="1"/>
  <c r="M369" i="1"/>
  <c r="L369" i="1"/>
  <c r="J369" i="1"/>
  <c r="F369" i="1"/>
  <c r="E369" i="1"/>
  <c r="E367" i="1" s="1"/>
  <c r="AB368" i="1"/>
  <c r="Y368" i="1"/>
  <c r="V368" i="1"/>
  <c r="S368" i="1"/>
  <c r="P368" i="1"/>
  <c r="M368" i="1"/>
  <c r="J368" i="1"/>
  <c r="G368" i="1"/>
  <c r="D368" i="1" s="1"/>
  <c r="C368" i="1"/>
  <c r="B368" i="1"/>
  <c r="AA367" i="1"/>
  <c r="AB367" i="1" s="1"/>
  <c r="Z367" i="1"/>
  <c r="X367" i="1"/>
  <c r="Y367" i="1" s="1"/>
  <c r="W367" i="1"/>
  <c r="U367" i="1"/>
  <c r="T367" i="1"/>
  <c r="R367" i="1"/>
  <c r="Q367" i="1"/>
  <c r="S367" i="1" s="1"/>
  <c r="L367" i="1"/>
  <c r="K367" i="1"/>
  <c r="I367" i="1"/>
  <c r="H367" i="1"/>
  <c r="Z366" i="1"/>
  <c r="AB365" i="1"/>
  <c r="Y365" i="1"/>
  <c r="V365" i="1"/>
  <c r="S365" i="1"/>
  <c r="P365" i="1"/>
  <c r="M365" i="1"/>
  <c r="J365" i="1"/>
  <c r="G365" i="1"/>
  <c r="C365" i="1"/>
  <c r="B365" i="1"/>
  <c r="AA364" i="1"/>
  <c r="AB364" i="1" s="1"/>
  <c r="Z364" i="1"/>
  <c r="X364" i="1"/>
  <c r="Y364" i="1" s="1"/>
  <c r="W364" i="1"/>
  <c r="U364" i="1"/>
  <c r="V364" i="1" s="1"/>
  <c r="T364" i="1"/>
  <c r="R364" i="1"/>
  <c r="Q364" i="1"/>
  <c r="P364" i="1"/>
  <c r="O364" i="1"/>
  <c r="N364" i="1"/>
  <c r="L364" i="1"/>
  <c r="K364" i="1"/>
  <c r="I364" i="1"/>
  <c r="H364" i="1"/>
  <c r="F364" i="1"/>
  <c r="E364" i="1"/>
  <c r="AB363" i="1"/>
  <c r="X363" i="1"/>
  <c r="C363" i="1" s="1"/>
  <c r="W363" i="1"/>
  <c r="V363" i="1"/>
  <c r="S363" i="1"/>
  <c r="P363" i="1"/>
  <c r="M363" i="1"/>
  <c r="J363" i="1"/>
  <c r="G363" i="1"/>
  <c r="AB362" i="1"/>
  <c r="AA362" i="1"/>
  <c r="Z362" i="1"/>
  <c r="Y362" i="1"/>
  <c r="V362" i="1"/>
  <c r="S362" i="1"/>
  <c r="P362" i="1"/>
  <c r="M362" i="1"/>
  <c r="J362" i="1"/>
  <c r="F362" i="1"/>
  <c r="G362" i="1" s="1"/>
  <c r="D362" i="1" s="1"/>
  <c r="E362" i="1"/>
  <c r="B362" i="1" s="1"/>
  <c r="AB361" i="1"/>
  <c r="Y361" i="1"/>
  <c r="V361" i="1"/>
  <c r="S361" i="1"/>
  <c r="P361" i="1"/>
  <c r="M361" i="1"/>
  <c r="J361" i="1"/>
  <c r="D361" i="1" s="1"/>
  <c r="G361" i="1"/>
  <c r="C361" i="1"/>
  <c r="B361" i="1"/>
  <c r="AB360" i="1"/>
  <c r="Y360" i="1"/>
  <c r="V360" i="1"/>
  <c r="S360" i="1"/>
  <c r="P360" i="1"/>
  <c r="M360" i="1"/>
  <c r="J360" i="1"/>
  <c r="G360" i="1"/>
  <c r="C360" i="1"/>
  <c r="B360" i="1"/>
  <c r="AB359" i="1"/>
  <c r="Y359" i="1"/>
  <c r="V359" i="1"/>
  <c r="S359" i="1"/>
  <c r="P359" i="1"/>
  <c r="M359" i="1"/>
  <c r="J359" i="1"/>
  <c r="G359" i="1"/>
  <c r="C359" i="1"/>
  <c r="B359" i="1"/>
  <c r="AB358" i="1"/>
  <c r="Y358" i="1"/>
  <c r="V358" i="1"/>
  <c r="S358" i="1"/>
  <c r="P358" i="1"/>
  <c r="M358" i="1"/>
  <c r="J358" i="1"/>
  <c r="G358" i="1"/>
  <c r="D358" i="1"/>
  <c r="C358" i="1"/>
  <c r="B358" i="1"/>
  <c r="AB357" i="1"/>
  <c r="Y357" i="1"/>
  <c r="V357" i="1"/>
  <c r="S357" i="1"/>
  <c r="P357" i="1"/>
  <c r="M357" i="1"/>
  <c r="L357" i="1"/>
  <c r="I357" i="1"/>
  <c r="J357" i="1" s="1"/>
  <c r="H357" i="1"/>
  <c r="G357" i="1"/>
  <c r="B357" i="1"/>
  <c r="AB356" i="1"/>
  <c r="Y356" i="1"/>
  <c r="V356" i="1"/>
  <c r="S356" i="1"/>
  <c r="P356" i="1"/>
  <c r="L356" i="1"/>
  <c r="K356" i="1"/>
  <c r="B356" i="1" s="1"/>
  <c r="J356" i="1"/>
  <c r="I356" i="1"/>
  <c r="F356" i="1"/>
  <c r="G356" i="1" s="1"/>
  <c r="AB355" i="1"/>
  <c r="Y355" i="1"/>
  <c r="V355" i="1"/>
  <c r="S355" i="1"/>
  <c r="P355" i="1"/>
  <c r="M355" i="1"/>
  <c r="J355" i="1"/>
  <c r="G355" i="1"/>
  <c r="D355" i="1" s="1"/>
  <c r="C355" i="1"/>
  <c r="B355" i="1"/>
  <c r="AB354" i="1"/>
  <c r="Y354" i="1"/>
  <c r="V354" i="1"/>
  <c r="S354" i="1"/>
  <c r="P354" i="1"/>
  <c r="M354" i="1"/>
  <c r="J354" i="1"/>
  <c r="G354" i="1"/>
  <c r="C354" i="1"/>
  <c r="B354" i="1"/>
  <c r="AB353" i="1"/>
  <c r="Y353" i="1"/>
  <c r="V353" i="1"/>
  <c r="S353" i="1"/>
  <c r="P353" i="1"/>
  <c r="M353" i="1"/>
  <c r="J353" i="1"/>
  <c r="G353" i="1"/>
  <c r="C353" i="1"/>
  <c r="B353" i="1"/>
  <c r="AB352" i="1"/>
  <c r="Y352" i="1"/>
  <c r="V352" i="1"/>
  <c r="S352" i="1"/>
  <c r="P352" i="1"/>
  <c r="M352" i="1"/>
  <c r="J352" i="1"/>
  <c r="D352" i="1" s="1"/>
  <c r="G352" i="1"/>
  <c r="C352" i="1"/>
  <c r="B352" i="1"/>
  <c r="AB351" i="1"/>
  <c r="Y351" i="1"/>
  <c r="V351" i="1"/>
  <c r="S351" i="1"/>
  <c r="P351" i="1"/>
  <c r="M351" i="1"/>
  <c r="J351" i="1"/>
  <c r="G351" i="1"/>
  <c r="C351" i="1"/>
  <c r="B351" i="1"/>
  <c r="AA350" i="1"/>
  <c r="Z350" i="1"/>
  <c r="Z329" i="1" s="1"/>
  <c r="Y350" i="1"/>
  <c r="V350" i="1"/>
  <c r="S350" i="1"/>
  <c r="P350" i="1"/>
  <c r="M350" i="1"/>
  <c r="I350" i="1"/>
  <c r="I329" i="1" s="1"/>
  <c r="F350" i="1"/>
  <c r="C350" i="1" s="1"/>
  <c r="E350" i="1"/>
  <c r="AB349" i="1"/>
  <c r="Y349" i="1"/>
  <c r="V349" i="1"/>
  <c r="S349" i="1"/>
  <c r="P349" i="1"/>
  <c r="M349" i="1"/>
  <c r="J349" i="1"/>
  <c r="G349" i="1"/>
  <c r="C349" i="1"/>
  <c r="B349" i="1"/>
  <c r="AB348" i="1"/>
  <c r="Y348" i="1"/>
  <c r="V348" i="1"/>
  <c r="S348" i="1"/>
  <c r="P348" i="1"/>
  <c r="M348" i="1"/>
  <c r="J348" i="1"/>
  <c r="G348" i="1"/>
  <c r="C348" i="1"/>
  <c r="B348" i="1"/>
  <c r="AB347" i="1"/>
  <c r="Y347" i="1"/>
  <c r="V347" i="1"/>
  <c r="S347" i="1"/>
  <c r="P347" i="1"/>
  <c r="M347" i="1"/>
  <c r="D347" i="1" s="1"/>
  <c r="J347" i="1"/>
  <c r="G347" i="1"/>
  <c r="C347" i="1"/>
  <c r="B347" i="1"/>
  <c r="AB346" i="1"/>
  <c r="Y346" i="1"/>
  <c r="V346" i="1"/>
  <c r="S346" i="1"/>
  <c r="P346" i="1"/>
  <c r="M346" i="1"/>
  <c r="J346" i="1"/>
  <c r="G346" i="1"/>
  <c r="C346" i="1"/>
  <c r="B346" i="1"/>
  <c r="AB345" i="1"/>
  <c r="Y345" i="1"/>
  <c r="V345" i="1"/>
  <c r="S345" i="1"/>
  <c r="P345" i="1"/>
  <c r="M345" i="1"/>
  <c r="J345" i="1"/>
  <c r="G345" i="1"/>
  <c r="C345" i="1"/>
  <c r="B345" i="1"/>
  <c r="AB344" i="1"/>
  <c r="Y344" i="1"/>
  <c r="V344" i="1"/>
  <c r="S344" i="1"/>
  <c r="P344" i="1"/>
  <c r="M344" i="1"/>
  <c r="J344" i="1"/>
  <c r="G344" i="1"/>
  <c r="C344" i="1"/>
  <c r="B344" i="1"/>
  <c r="AB343" i="1"/>
  <c r="Y343" i="1"/>
  <c r="V343" i="1"/>
  <c r="S343" i="1"/>
  <c r="P343" i="1"/>
  <c r="M343" i="1"/>
  <c r="J343" i="1"/>
  <c r="G343" i="1"/>
  <c r="C343" i="1"/>
  <c r="B343" i="1"/>
  <c r="AB342" i="1"/>
  <c r="Y342" i="1"/>
  <c r="V342" i="1"/>
  <c r="S342" i="1"/>
  <c r="P342" i="1"/>
  <c r="M342" i="1"/>
  <c r="J342" i="1"/>
  <c r="D342" i="1" s="1"/>
  <c r="G342" i="1"/>
  <c r="C342" i="1"/>
  <c r="B342" i="1"/>
  <c r="AB341" i="1"/>
  <c r="Y341" i="1"/>
  <c r="V341" i="1"/>
  <c r="S341" i="1"/>
  <c r="P341" i="1"/>
  <c r="M341" i="1"/>
  <c r="J341" i="1"/>
  <c r="F341" i="1"/>
  <c r="G341" i="1" s="1"/>
  <c r="D341" i="1" s="1"/>
  <c r="B341" i="1"/>
  <c r="AB340" i="1"/>
  <c r="Y340" i="1"/>
  <c r="V340" i="1"/>
  <c r="S340" i="1"/>
  <c r="P340" i="1"/>
  <c r="M340" i="1"/>
  <c r="J340" i="1"/>
  <c r="D340" i="1" s="1"/>
  <c r="F340" i="1"/>
  <c r="G340" i="1" s="1"/>
  <c r="C340" i="1"/>
  <c r="B340" i="1"/>
  <c r="AB339" i="1"/>
  <c r="Y339" i="1"/>
  <c r="V339" i="1"/>
  <c r="S339" i="1"/>
  <c r="P339" i="1"/>
  <c r="M339" i="1"/>
  <c r="J339" i="1"/>
  <c r="G339" i="1"/>
  <c r="D339" i="1" s="1"/>
  <c r="F339" i="1"/>
  <c r="C339" i="1"/>
  <c r="B339" i="1"/>
  <c r="AB338" i="1"/>
  <c r="Y338" i="1"/>
  <c r="V338" i="1"/>
  <c r="S338" i="1"/>
  <c r="P338" i="1"/>
  <c r="M338" i="1"/>
  <c r="J338" i="1"/>
  <c r="G338" i="1"/>
  <c r="D338" i="1" s="1"/>
  <c r="F338" i="1"/>
  <c r="C338" i="1"/>
  <c r="B338" i="1"/>
  <c r="AB337" i="1"/>
  <c r="Y337" i="1"/>
  <c r="V337" i="1"/>
  <c r="S337" i="1"/>
  <c r="P337" i="1"/>
  <c r="M337" i="1"/>
  <c r="J337" i="1"/>
  <c r="G337" i="1"/>
  <c r="D337" i="1" s="1"/>
  <c r="F337" i="1"/>
  <c r="C337" i="1"/>
  <c r="B337" i="1"/>
  <c r="AB336" i="1"/>
  <c r="Y336" i="1"/>
  <c r="V336" i="1"/>
  <c r="S336" i="1"/>
  <c r="P336" i="1"/>
  <c r="M336" i="1"/>
  <c r="J336" i="1"/>
  <c r="G336" i="1"/>
  <c r="D336" i="1" s="1"/>
  <c r="C336" i="1"/>
  <c r="B336" i="1"/>
  <c r="AB335" i="1"/>
  <c r="Y335" i="1"/>
  <c r="V335" i="1"/>
  <c r="S335" i="1"/>
  <c r="P335" i="1"/>
  <c r="M335" i="1"/>
  <c r="J335" i="1"/>
  <c r="G335" i="1"/>
  <c r="C335" i="1"/>
  <c r="B335" i="1"/>
  <c r="AB334" i="1"/>
  <c r="Y334" i="1"/>
  <c r="V334" i="1"/>
  <c r="S334" i="1"/>
  <c r="P334" i="1"/>
  <c r="M334" i="1"/>
  <c r="J334" i="1"/>
  <c r="G334" i="1"/>
  <c r="D334" i="1" s="1"/>
  <c r="C334" i="1"/>
  <c r="B334" i="1"/>
  <c r="AB333" i="1"/>
  <c r="Y333" i="1"/>
  <c r="V333" i="1"/>
  <c r="S333" i="1"/>
  <c r="P333" i="1"/>
  <c r="M333" i="1"/>
  <c r="J333" i="1"/>
  <c r="G333" i="1"/>
  <c r="C333" i="1"/>
  <c r="B333" i="1"/>
  <c r="AB332" i="1"/>
  <c r="Y332" i="1"/>
  <c r="V332" i="1"/>
  <c r="S332" i="1"/>
  <c r="P332" i="1"/>
  <c r="M332" i="1"/>
  <c r="J332" i="1"/>
  <c r="G332" i="1"/>
  <c r="C332" i="1"/>
  <c r="B332" i="1"/>
  <c r="AB331" i="1"/>
  <c r="Y331" i="1"/>
  <c r="V331" i="1"/>
  <c r="S331" i="1"/>
  <c r="P331" i="1"/>
  <c r="M331" i="1"/>
  <c r="J331" i="1"/>
  <c r="G331" i="1"/>
  <c r="C331" i="1"/>
  <c r="B331" i="1"/>
  <c r="AB330" i="1"/>
  <c r="Y330" i="1"/>
  <c r="V330" i="1"/>
  <c r="S330" i="1"/>
  <c r="P330" i="1"/>
  <c r="L330" i="1"/>
  <c r="K330" i="1"/>
  <c r="K329" i="1" s="1"/>
  <c r="J330" i="1"/>
  <c r="F330" i="1"/>
  <c r="E330" i="1"/>
  <c r="C330" i="1"/>
  <c r="AA329" i="1"/>
  <c r="AB329" i="1" s="1"/>
  <c r="X329" i="1"/>
  <c r="U329" i="1"/>
  <c r="T329" i="1"/>
  <c r="R329" i="1"/>
  <c r="S329" i="1" s="1"/>
  <c r="Q329" i="1"/>
  <c r="O329" i="1"/>
  <c r="N329" i="1"/>
  <c r="P329" i="1" s="1"/>
  <c r="L329" i="1"/>
  <c r="H329" i="1"/>
  <c r="AB328" i="1"/>
  <c r="Y328" i="1"/>
  <c r="V328" i="1"/>
  <c r="S328" i="1"/>
  <c r="P328" i="1"/>
  <c r="M328" i="1"/>
  <c r="L328" i="1"/>
  <c r="K328" i="1"/>
  <c r="B328" i="1" s="1"/>
  <c r="J328" i="1"/>
  <c r="G328" i="1"/>
  <c r="D328" i="1" s="1"/>
  <c r="C328" i="1"/>
  <c r="AB327" i="1"/>
  <c r="Y327" i="1"/>
  <c r="V327" i="1"/>
  <c r="S327" i="1"/>
  <c r="P327" i="1"/>
  <c r="M327" i="1"/>
  <c r="J327" i="1"/>
  <c r="D327" i="1" s="1"/>
  <c r="G327" i="1"/>
  <c r="C327" i="1"/>
  <c r="B327" i="1"/>
  <c r="AB326" i="1"/>
  <c r="Y326" i="1"/>
  <c r="V326" i="1"/>
  <c r="S326" i="1"/>
  <c r="P326" i="1"/>
  <c r="M326" i="1"/>
  <c r="J326" i="1"/>
  <c r="G326" i="1"/>
  <c r="D326" i="1" s="1"/>
  <c r="C326" i="1"/>
  <c r="B326" i="1"/>
  <c r="AB325" i="1"/>
  <c r="Y325" i="1"/>
  <c r="V325" i="1"/>
  <c r="S325" i="1"/>
  <c r="P325" i="1"/>
  <c r="M325" i="1"/>
  <c r="J325" i="1"/>
  <c r="G325" i="1"/>
  <c r="C325" i="1"/>
  <c r="B325" i="1"/>
  <c r="AB324" i="1"/>
  <c r="Y324" i="1"/>
  <c r="V324" i="1"/>
  <c r="S324" i="1"/>
  <c r="P324" i="1"/>
  <c r="L324" i="1"/>
  <c r="K324" i="1"/>
  <c r="B324" i="1" s="1"/>
  <c r="J324" i="1"/>
  <c r="G324" i="1"/>
  <c r="C324" i="1"/>
  <c r="AB323" i="1"/>
  <c r="Y323" i="1"/>
  <c r="V323" i="1"/>
  <c r="S323" i="1"/>
  <c r="P323" i="1"/>
  <c r="L323" i="1"/>
  <c r="C323" i="1" s="1"/>
  <c r="K323" i="1"/>
  <c r="J323" i="1"/>
  <c r="G323" i="1"/>
  <c r="B323" i="1"/>
  <c r="AB322" i="1"/>
  <c r="Y322" i="1"/>
  <c r="V322" i="1"/>
  <c r="S322" i="1"/>
  <c r="P322" i="1"/>
  <c r="L322" i="1"/>
  <c r="K322" i="1"/>
  <c r="J322" i="1"/>
  <c r="G322" i="1"/>
  <c r="C322" i="1"/>
  <c r="AB321" i="1"/>
  <c r="Y321" i="1"/>
  <c r="V321" i="1"/>
  <c r="S321" i="1"/>
  <c r="P321" i="1"/>
  <c r="M321" i="1"/>
  <c r="J321" i="1"/>
  <c r="G321" i="1"/>
  <c r="D321" i="1"/>
  <c r="C321" i="1"/>
  <c r="B321" i="1"/>
  <c r="AA320" i="1"/>
  <c r="Z320" i="1"/>
  <c r="X320" i="1"/>
  <c r="W320" i="1"/>
  <c r="Y320" i="1" s="1"/>
  <c r="U320" i="1"/>
  <c r="T320" i="1"/>
  <c r="R320" i="1"/>
  <c r="S320" i="1" s="1"/>
  <c r="Q320" i="1"/>
  <c r="O320" i="1"/>
  <c r="N320" i="1"/>
  <c r="I320" i="1"/>
  <c r="H320" i="1"/>
  <c r="F320" i="1"/>
  <c r="G320" i="1" s="1"/>
  <c r="E320" i="1"/>
  <c r="AB319" i="1"/>
  <c r="Y319" i="1"/>
  <c r="V319" i="1"/>
  <c r="S319" i="1"/>
  <c r="P319" i="1"/>
  <c r="M319" i="1"/>
  <c r="J319" i="1"/>
  <c r="G319" i="1"/>
  <c r="C319" i="1"/>
  <c r="B319" i="1"/>
  <c r="AB318" i="1"/>
  <c r="Y318" i="1"/>
  <c r="V318" i="1"/>
  <c r="S318" i="1"/>
  <c r="P318" i="1"/>
  <c r="L318" i="1"/>
  <c r="K318" i="1"/>
  <c r="B318" i="1" s="1"/>
  <c r="J318" i="1"/>
  <c r="G318" i="1"/>
  <c r="C318" i="1"/>
  <c r="AB317" i="1"/>
  <c r="Y317" i="1"/>
  <c r="V317" i="1"/>
  <c r="S317" i="1"/>
  <c r="P317" i="1"/>
  <c r="L317" i="1"/>
  <c r="C317" i="1" s="1"/>
  <c r="K317" i="1"/>
  <c r="B317" i="1" s="1"/>
  <c r="J317" i="1"/>
  <c r="G317" i="1"/>
  <c r="AB316" i="1"/>
  <c r="Y316" i="1"/>
  <c r="V316" i="1"/>
  <c r="S316" i="1"/>
  <c r="P316" i="1"/>
  <c r="M316" i="1"/>
  <c r="J316" i="1"/>
  <c r="G316" i="1"/>
  <c r="C316" i="1"/>
  <c r="B316" i="1"/>
  <c r="AB315" i="1"/>
  <c r="Y315" i="1"/>
  <c r="V315" i="1"/>
  <c r="S315" i="1"/>
  <c r="P315" i="1"/>
  <c r="M315" i="1"/>
  <c r="J315" i="1"/>
  <c r="G315" i="1"/>
  <c r="C315" i="1"/>
  <c r="B315" i="1"/>
  <c r="AA314" i="1"/>
  <c r="AB314" i="1" s="1"/>
  <c r="Z314" i="1"/>
  <c r="Y314" i="1"/>
  <c r="X314" i="1"/>
  <c r="W314" i="1"/>
  <c r="U314" i="1"/>
  <c r="T314" i="1"/>
  <c r="R314" i="1"/>
  <c r="Q314" i="1"/>
  <c r="S314" i="1" s="1"/>
  <c r="O314" i="1"/>
  <c r="N314" i="1"/>
  <c r="I314" i="1"/>
  <c r="H314" i="1"/>
  <c r="F314" i="1"/>
  <c r="E314" i="1"/>
  <c r="G314" i="1" s="1"/>
  <c r="AB313" i="1"/>
  <c r="Y313" i="1"/>
  <c r="V313" i="1"/>
  <c r="S313" i="1"/>
  <c r="P313" i="1"/>
  <c r="M313" i="1"/>
  <c r="J313" i="1"/>
  <c r="G313" i="1"/>
  <c r="D313" i="1" s="1"/>
  <c r="C313" i="1"/>
  <c r="B313" i="1"/>
  <c r="AB312" i="1"/>
  <c r="Y312" i="1"/>
  <c r="V312" i="1"/>
  <c r="S312" i="1"/>
  <c r="P312" i="1"/>
  <c r="M312" i="1"/>
  <c r="J312" i="1"/>
  <c r="G312" i="1"/>
  <c r="C312" i="1"/>
  <c r="B312" i="1"/>
  <c r="AB311" i="1"/>
  <c r="Y311" i="1"/>
  <c r="V311" i="1"/>
  <c r="S311" i="1"/>
  <c r="P311" i="1"/>
  <c r="M311" i="1"/>
  <c r="J311" i="1"/>
  <c r="G311" i="1"/>
  <c r="C311" i="1"/>
  <c r="B311" i="1"/>
  <c r="AB310" i="1"/>
  <c r="Y310" i="1"/>
  <c r="V310" i="1"/>
  <c r="S310" i="1"/>
  <c r="P310" i="1"/>
  <c r="M310" i="1"/>
  <c r="J310" i="1"/>
  <c r="G310" i="1"/>
  <c r="C310" i="1"/>
  <c r="B310" i="1"/>
  <c r="AA309" i="1"/>
  <c r="Z309" i="1"/>
  <c r="X309" i="1"/>
  <c r="W309" i="1"/>
  <c r="U309" i="1"/>
  <c r="T309" i="1"/>
  <c r="V309" i="1" s="1"/>
  <c r="R309" i="1"/>
  <c r="S309" i="1" s="1"/>
  <c r="Q309" i="1"/>
  <c r="P309" i="1"/>
  <c r="O309" i="1"/>
  <c r="N309" i="1"/>
  <c r="L309" i="1"/>
  <c r="K309" i="1"/>
  <c r="I309" i="1"/>
  <c r="H309" i="1"/>
  <c r="J309" i="1" s="1"/>
  <c r="F309" i="1"/>
  <c r="G309" i="1" s="1"/>
  <c r="E309" i="1"/>
  <c r="AB308" i="1"/>
  <c r="Y308" i="1"/>
  <c r="V308" i="1"/>
  <c r="S308" i="1"/>
  <c r="P308" i="1"/>
  <c r="M308" i="1"/>
  <c r="J308" i="1"/>
  <c r="G308" i="1"/>
  <c r="C308" i="1"/>
  <c r="B308" i="1"/>
  <c r="AA307" i="1"/>
  <c r="Z307" i="1"/>
  <c r="X307" i="1"/>
  <c r="Y307" i="1" s="1"/>
  <c r="W307" i="1"/>
  <c r="U307" i="1"/>
  <c r="V307" i="1" s="1"/>
  <c r="T307" i="1"/>
  <c r="R307" i="1"/>
  <c r="R304" i="1" s="1"/>
  <c r="Q307" i="1"/>
  <c r="O307" i="1"/>
  <c r="N307" i="1"/>
  <c r="M307" i="1"/>
  <c r="L307" i="1"/>
  <c r="K307" i="1"/>
  <c r="I307" i="1"/>
  <c r="J307" i="1" s="1"/>
  <c r="H307" i="1"/>
  <c r="F307" i="1"/>
  <c r="E307" i="1"/>
  <c r="B307" i="1"/>
  <c r="AB306" i="1"/>
  <c r="Y306" i="1"/>
  <c r="V306" i="1"/>
  <c r="S306" i="1"/>
  <c r="P306" i="1"/>
  <c r="M306" i="1"/>
  <c r="J306" i="1"/>
  <c r="G306" i="1"/>
  <c r="D306" i="1" s="1"/>
  <c r="C306" i="1"/>
  <c r="B306" i="1"/>
  <c r="AA305" i="1"/>
  <c r="Z305" i="1"/>
  <c r="X305" i="1"/>
  <c r="W305" i="1"/>
  <c r="U305" i="1"/>
  <c r="T305" i="1"/>
  <c r="R305" i="1"/>
  <c r="S305" i="1" s="1"/>
  <c r="Q305" i="1"/>
  <c r="O305" i="1"/>
  <c r="P305" i="1" s="1"/>
  <c r="N305" i="1"/>
  <c r="L305" i="1"/>
  <c r="C305" i="1" s="1"/>
  <c r="K305" i="1"/>
  <c r="I305" i="1"/>
  <c r="H305" i="1"/>
  <c r="J305" i="1" s="1"/>
  <c r="G305" i="1"/>
  <c r="F305" i="1"/>
  <c r="E305" i="1"/>
  <c r="AB303" i="1"/>
  <c r="Y303" i="1"/>
  <c r="V303" i="1"/>
  <c r="R303" i="1"/>
  <c r="R301" i="1" s="1"/>
  <c r="Q303" i="1"/>
  <c r="B303" i="1" s="1"/>
  <c r="P303" i="1"/>
  <c r="M303" i="1"/>
  <c r="J303" i="1"/>
  <c r="G303" i="1"/>
  <c r="C303" i="1"/>
  <c r="AA302" i="1"/>
  <c r="AA301" i="1" s="1"/>
  <c r="Z302" i="1"/>
  <c r="Y302" i="1"/>
  <c r="V302" i="1"/>
  <c r="S302" i="1"/>
  <c r="P302" i="1"/>
  <c r="M302" i="1"/>
  <c r="J302" i="1"/>
  <c r="F302" i="1"/>
  <c r="X301" i="1"/>
  <c r="Y301" i="1" s="1"/>
  <c r="W301" i="1"/>
  <c r="U301" i="1"/>
  <c r="T301" i="1"/>
  <c r="Q301" i="1"/>
  <c r="P301" i="1"/>
  <c r="O301" i="1"/>
  <c r="N301" i="1"/>
  <c r="L301" i="1"/>
  <c r="M301" i="1" s="1"/>
  <c r="K301" i="1"/>
  <c r="I301" i="1"/>
  <c r="H301" i="1"/>
  <c r="E301" i="1"/>
  <c r="AB300" i="1"/>
  <c r="Y300" i="1"/>
  <c r="V300" i="1"/>
  <c r="S300" i="1"/>
  <c r="P300" i="1"/>
  <c r="M300" i="1"/>
  <c r="J300" i="1"/>
  <c r="G300" i="1"/>
  <c r="D300" i="1" s="1"/>
  <c r="C300" i="1"/>
  <c r="B300" i="1"/>
  <c r="AB299" i="1"/>
  <c r="Y299" i="1"/>
  <c r="V299" i="1"/>
  <c r="S299" i="1"/>
  <c r="P299" i="1"/>
  <c r="M299" i="1"/>
  <c r="J299" i="1"/>
  <c r="G299" i="1"/>
  <c r="C299" i="1"/>
  <c r="B299" i="1"/>
  <c r="AB298" i="1"/>
  <c r="Y298" i="1"/>
  <c r="V298" i="1"/>
  <c r="S298" i="1"/>
  <c r="P298" i="1"/>
  <c r="M298" i="1"/>
  <c r="J298" i="1"/>
  <c r="G298" i="1"/>
  <c r="C298" i="1"/>
  <c r="B298" i="1"/>
  <c r="AB297" i="1"/>
  <c r="Y297" i="1"/>
  <c r="V297" i="1"/>
  <c r="S297" i="1"/>
  <c r="P297" i="1"/>
  <c r="M297" i="1"/>
  <c r="J297" i="1"/>
  <c r="G297" i="1"/>
  <c r="C297" i="1"/>
  <c r="B297" i="1"/>
  <c r="AB296" i="1"/>
  <c r="Y296" i="1"/>
  <c r="V296" i="1"/>
  <c r="S296" i="1"/>
  <c r="P296" i="1"/>
  <c r="M296" i="1"/>
  <c r="J296" i="1"/>
  <c r="G296" i="1"/>
  <c r="D296" i="1" s="1"/>
  <c r="C296" i="1"/>
  <c r="B296" i="1"/>
  <c r="AA295" i="1"/>
  <c r="Z295" i="1"/>
  <c r="X295" i="1"/>
  <c r="W295" i="1"/>
  <c r="Y295" i="1" s="1"/>
  <c r="U295" i="1"/>
  <c r="T295" i="1"/>
  <c r="V295" i="1" s="1"/>
  <c r="S295" i="1"/>
  <c r="R295" i="1"/>
  <c r="Q295" i="1"/>
  <c r="O295" i="1"/>
  <c r="N295" i="1"/>
  <c r="L295" i="1"/>
  <c r="K295" i="1"/>
  <c r="I295" i="1"/>
  <c r="J295" i="1" s="1"/>
  <c r="H295" i="1"/>
  <c r="F295" i="1"/>
  <c r="E295" i="1"/>
  <c r="AB294" i="1"/>
  <c r="Y294" i="1"/>
  <c r="V294" i="1"/>
  <c r="S294" i="1"/>
  <c r="P294" i="1"/>
  <c r="M294" i="1"/>
  <c r="J294" i="1"/>
  <c r="G294" i="1"/>
  <c r="C294" i="1"/>
  <c r="B294" i="1"/>
  <c r="AB293" i="1"/>
  <c r="Y293" i="1"/>
  <c r="V293" i="1"/>
  <c r="S293" i="1"/>
  <c r="P293" i="1"/>
  <c r="M293" i="1"/>
  <c r="J293" i="1"/>
  <c r="G293" i="1"/>
  <c r="C293" i="1"/>
  <c r="B293" i="1"/>
  <c r="AB292" i="1"/>
  <c r="Y292" i="1"/>
  <c r="V292" i="1"/>
  <c r="S292" i="1"/>
  <c r="P292" i="1"/>
  <c r="M292" i="1"/>
  <c r="J292" i="1"/>
  <c r="G292" i="1"/>
  <c r="D292" i="1" s="1"/>
  <c r="C292" i="1"/>
  <c r="B292" i="1"/>
  <c r="AB291" i="1"/>
  <c r="Y291" i="1"/>
  <c r="V291" i="1"/>
  <c r="S291" i="1"/>
  <c r="P291" i="1"/>
  <c r="M291" i="1"/>
  <c r="J291" i="1"/>
  <c r="G291" i="1"/>
  <c r="D291" i="1" s="1"/>
  <c r="C291" i="1"/>
  <c r="B291" i="1"/>
  <c r="AA290" i="1"/>
  <c r="Z290" i="1"/>
  <c r="AB290" i="1" s="1"/>
  <c r="X290" i="1"/>
  <c r="W290" i="1"/>
  <c r="Y290" i="1" s="1"/>
  <c r="V290" i="1"/>
  <c r="U290" i="1"/>
  <c r="T290" i="1"/>
  <c r="R290" i="1"/>
  <c r="Q290" i="1"/>
  <c r="O290" i="1"/>
  <c r="N290" i="1"/>
  <c r="L290" i="1"/>
  <c r="M290" i="1" s="1"/>
  <c r="K290" i="1"/>
  <c r="I290" i="1"/>
  <c r="J290" i="1" s="1"/>
  <c r="H290" i="1"/>
  <c r="F290" i="1"/>
  <c r="E290" i="1"/>
  <c r="AB289" i="1"/>
  <c r="Y289" i="1"/>
  <c r="V289" i="1"/>
  <c r="S289" i="1"/>
  <c r="P289" i="1"/>
  <c r="M289" i="1"/>
  <c r="J289" i="1"/>
  <c r="G289" i="1"/>
  <c r="C289" i="1"/>
  <c r="B289" i="1"/>
  <c r="AB288" i="1"/>
  <c r="Y288" i="1"/>
  <c r="V288" i="1"/>
  <c r="S288" i="1"/>
  <c r="P288" i="1"/>
  <c r="M288" i="1"/>
  <c r="J288" i="1"/>
  <c r="D288" i="1" s="1"/>
  <c r="G288" i="1"/>
  <c r="C288" i="1"/>
  <c r="B288" i="1"/>
  <c r="AB287" i="1"/>
  <c r="Y287" i="1"/>
  <c r="V287" i="1"/>
  <c r="S287" i="1"/>
  <c r="P287" i="1"/>
  <c r="M287" i="1"/>
  <c r="J287" i="1"/>
  <c r="G287" i="1"/>
  <c r="D287" i="1" s="1"/>
  <c r="C287" i="1"/>
  <c r="B287" i="1"/>
  <c r="AB286" i="1"/>
  <c r="Y286" i="1"/>
  <c r="V286" i="1"/>
  <c r="S286" i="1"/>
  <c r="P286" i="1"/>
  <c r="M286" i="1"/>
  <c r="J286" i="1"/>
  <c r="G286" i="1"/>
  <c r="C286" i="1"/>
  <c r="B286" i="1"/>
  <c r="AB285" i="1"/>
  <c r="Y285" i="1"/>
  <c r="V285" i="1"/>
  <c r="S285" i="1"/>
  <c r="P285" i="1"/>
  <c r="M285" i="1"/>
  <c r="J285" i="1"/>
  <c r="G285" i="1"/>
  <c r="D285" i="1" s="1"/>
  <c r="C285" i="1"/>
  <c r="B285" i="1"/>
  <c r="AB284" i="1"/>
  <c r="Y284" i="1"/>
  <c r="V284" i="1"/>
  <c r="S284" i="1"/>
  <c r="P284" i="1"/>
  <c r="M284" i="1"/>
  <c r="D284" i="1" s="1"/>
  <c r="J284" i="1"/>
  <c r="G284" i="1"/>
  <c r="C284" i="1"/>
  <c r="B284" i="1"/>
  <c r="AB283" i="1"/>
  <c r="Y283" i="1"/>
  <c r="V283" i="1"/>
  <c r="R283" i="1"/>
  <c r="Q283" i="1"/>
  <c r="S283" i="1" s="1"/>
  <c r="P283" i="1"/>
  <c r="M283" i="1"/>
  <c r="J283" i="1"/>
  <c r="G283" i="1"/>
  <c r="C283" i="1"/>
  <c r="AB282" i="1"/>
  <c r="AA282" i="1"/>
  <c r="Z282" i="1"/>
  <c r="X282" i="1"/>
  <c r="W282" i="1"/>
  <c r="U282" i="1"/>
  <c r="T282" i="1"/>
  <c r="V282" i="1" s="1"/>
  <c r="R282" i="1"/>
  <c r="P282" i="1"/>
  <c r="O282" i="1"/>
  <c r="N282" i="1"/>
  <c r="L282" i="1"/>
  <c r="K282" i="1"/>
  <c r="I282" i="1"/>
  <c r="H282" i="1"/>
  <c r="F282" i="1"/>
  <c r="G282" i="1" s="1"/>
  <c r="E282" i="1"/>
  <c r="AB281" i="1"/>
  <c r="Y281" i="1"/>
  <c r="V281" i="1"/>
  <c r="S281" i="1"/>
  <c r="P281" i="1"/>
  <c r="M281" i="1"/>
  <c r="J281" i="1"/>
  <c r="G281" i="1"/>
  <c r="C281" i="1"/>
  <c r="B281" i="1"/>
  <c r="AA280" i="1"/>
  <c r="Z280" i="1"/>
  <c r="X280" i="1"/>
  <c r="Y280" i="1" s="1"/>
  <c r="W280" i="1"/>
  <c r="U280" i="1"/>
  <c r="V280" i="1" s="1"/>
  <c r="T280" i="1"/>
  <c r="R280" i="1"/>
  <c r="S280" i="1" s="1"/>
  <c r="Q280" i="1"/>
  <c r="O280" i="1"/>
  <c r="N280" i="1"/>
  <c r="P280" i="1" s="1"/>
  <c r="M280" i="1"/>
  <c r="L280" i="1"/>
  <c r="K280" i="1"/>
  <c r="I280" i="1"/>
  <c r="H280" i="1"/>
  <c r="F280" i="1"/>
  <c r="E280" i="1"/>
  <c r="B280" i="1"/>
  <c r="AB279" i="1"/>
  <c r="Y279" i="1"/>
  <c r="V279" i="1"/>
  <c r="S279" i="1"/>
  <c r="P279" i="1"/>
  <c r="M279" i="1"/>
  <c r="J279" i="1"/>
  <c r="G279" i="1"/>
  <c r="D279" i="1" s="1"/>
  <c r="C279" i="1"/>
  <c r="B279" i="1"/>
  <c r="AB278" i="1"/>
  <c r="Y278" i="1"/>
  <c r="V278" i="1"/>
  <c r="R278" i="1"/>
  <c r="Q278" i="1"/>
  <c r="P278" i="1"/>
  <c r="M278" i="1"/>
  <c r="J278" i="1"/>
  <c r="G278" i="1"/>
  <c r="B278" i="1"/>
  <c r="AB277" i="1"/>
  <c r="Y277" i="1"/>
  <c r="V277" i="1"/>
  <c r="S277" i="1"/>
  <c r="P277" i="1"/>
  <c r="M277" i="1"/>
  <c r="J277" i="1"/>
  <c r="G277" i="1"/>
  <c r="D277" i="1" s="1"/>
  <c r="C277" i="1"/>
  <c r="B277" i="1"/>
  <c r="AB276" i="1"/>
  <c r="Y276" i="1"/>
  <c r="V276" i="1"/>
  <c r="R276" i="1"/>
  <c r="Q276" i="1"/>
  <c r="P276" i="1"/>
  <c r="M276" i="1"/>
  <c r="J276" i="1"/>
  <c r="G276" i="1"/>
  <c r="B276" i="1"/>
  <c r="AB275" i="1"/>
  <c r="Y275" i="1"/>
  <c r="U275" i="1"/>
  <c r="T275" i="1"/>
  <c r="S275" i="1"/>
  <c r="P275" i="1"/>
  <c r="J275" i="1"/>
  <c r="G275" i="1"/>
  <c r="AB274" i="1"/>
  <c r="Y274" i="1"/>
  <c r="V274" i="1"/>
  <c r="S274" i="1"/>
  <c r="P274" i="1"/>
  <c r="M274" i="1"/>
  <c r="J274" i="1"/>
  <c r="G274" i="1"/>
  <c r="C274" i="1"/>
  <c r="B274" i="1"/>
  <c r="AB273" i="1"/>
  <c r="Y273" i="1"/>
  <c r="V273" i="1"/>
  <c r="S273" i="1"/>
  <c r="P273" i="1"/>
  <c r="M273" i="1"/>
  <c r="J273" i="1"/>
  <c r="G273" i="1"/>
  <c r="D273" i="1"/>
  <c r="C273" i="1"/>
  <c r="B273" i="1"/>
  <c r="AB272" i="1"/>
  <c r="Y272" i="1"/>
  <c r="V272" i="1"/>
  <c r="S272" i="1"/>
  <c r="P272" i="1"/>
  <c r="M272" i="1"/>
  <c r="J272" i="1"/>
  <c r="G272" i="1"/>
  <c r="C272" i="1"/>
  <c r="B272" i="1"/>
  <c r="AA271" i="1"/>
  <c r="Z271" i="1"/>
  <c r="X271" i="1"/>
  <c r="Y271" i="1" s="1"/>
  <c r="W271" i="1"/>
  <c r="R271" i="1"/>
  <c r="Q271" i="1"/>
  <c r="O271" i="1"/>
  <c r="N271" i="1"/>
  <c r="L271" i="1"/>
  <c r="K271" i="1"/>
  <c r="I271" i="1"/>
  <c r="J271" i="1" s="1"/>
  <c r="H271" i="1"/>
  <c r="F271" i="1"/>
  <c r="E271" i="1"/>
  <c r="AB269" i="1"/>
  <c r="Y269" i="1"/>
  <c r="V269" i="1"/>
  <c r="S269" i="1"/>
  <c r="P269" i="1"/>
  <c r="M269" i="1"/>
  <c r="J269" i="1"/>
  <c r="G269" i="1"/>
  <c r="D269" i="1"/>
  <c r="C269" i="1"/>
  <c r="B269" i="1"/>
  <c r="AA268" i="1"/>
  <c r="Z268" i="1"/>
  <c r="X268" i="1"/>
  <c r="W268" i="1"/>
  <c r="Y268" i="1" s="1"/>
  <c r="U268" i="1"/>
  <c r="V268" i="1" s="1"/>
  <c r="T268" i="1"/>
  <c r="R268" i="1"/>
  <c r="Q268" i="1"/>
  <c r="O268" i="1"/>
  <c r="N268" i="1"/>
  <c r="L268" i="1"/>
  <c r="K268" i="1"/>
  <c r="I268" i="1"/>
  <c r="J268" i="1" s="1"/>
  <c r="H268" i="1"/>
  <c r="G268" i="1"/>
  <c r="F268" i="1"/>
  <c r="E268" i="1"/>
  <c r="AB267" i="1"/>
  <c r="Y267" i="1"/>
  <c r="V267" i="1"/>
  <c r="S267" i="1"/>
  <c r="P267" i="1"/>
  <c r="M267" i="1"/>
  <c r="J267" i="1"/>
  <c r="G267" i="1"/>
  <c r="C267" i="1"/>
  <c r="B267" i="1"/>
  <c r="AA266" i="1"/>
  <c r="AB266" i="1" s="1"/>
  <c r="Z266" i="1"/>
  <c r="Y266" i="1"/>
  <c r="X266" i="1"/>
  <c r="W266" i="1"/>
  <c r="U266" i="1"/>
  <c r="T266" i="1"/>
  <c r="R266" i="1"/>
  <c r="Q266" i="1"/>
  <c r="S266" i="1" s="1"/>
  <c r="O266" i="1"/>
  <c r="P266" i="1" s="1"/>
  <c r="N266" i="1"/>
  <c r="L266" i="1"/>
  <c r="K266" i="1"/>
  <c r="I266" i="1"/>
  <c r="H266" i="1"/>
  <c r="F266" i="1"/>
  <c r="E266" i="1"/>
  <c r="AB265" i="1"/>
  <c r="Y265" i="1"/>
  <c r="V265" i="1"/>
  <c r="S265" i="1"/>
  <c r="P265" i="1"/>
  <c r="M265" i="1"/>
  <c r="J265" i="1"/>
  <c r="G265" i="1"/>
  <c r="D265" i="1" s="1"/>
  <c r="C265" i="1"/>
  <c r="B265" i="1"/>
  <c r="AA264" i="1"/>
  <c r="AB264" i="1" s="1"/>
  <c r="Z264" i="1"/>
  <c r="X264" i="1"/>
  <c r="W264" i="1"/>
  <c r="Y264" i="1" s="1"/>
  <c r="V264" i="1"/>
  <c r="U264" i="1"/>
  <c r="T264" i="1"/>
  <c r="R264" i="1"/>
  <c r="Q264" i="1"/>
  <c r="O264" i="1"/>
  <c r="N264" i="1"/>
  <c r="L264" i="1"/>
  <c r="K264" i="1"/>
  <c r="I264" i="1"/>
  <c r="H264" i="1"/>
  <c r="H257" i="1" s="1"/>
  <c r="F264" i="1"/>
  <c r="E264" i="1"/>
  <c r="C264" i="1"/>
  <c r="AB263" i="1"/>
  <c r="Y263" i="1"/>
  <c r="V263" i="1"/>
  <c r="S263" i="1"/>
  <c r="P263" i="1"/>
  <c r="M263" i="1"/>
  <c r="J263" i="1"/>
  <c r="G263" i="1"/>
  <c r="C263" i="1"/>
  <c r="B263" i="1"/>
  <c r="AB262" i="1"/>
  <c r="Y262" i="1"/>
  <c r="V262" i="1"/>
  <c r="S262" i="1"/>
  <c r="P262" i="1"/>
  <c r="M262" i="1"/>
  <c r="J262" i="1"/>
  <c r="G262" i="1"/>
  <c r="C262" i="1"/>
  <c r="B262" i="1"/>
  <c r="AA261" i="1"/>
  <c r="AB261" i="1" s="1"/>
  <c r="Z261" i="1"/>
  <c r="X261" i="1"/>
  <c r="Y261" i="1" s="1"/>
  <c r="W261" i="1"/>
  <c r="U261" i="1"/>
  <c r="T261" i="1"/>
  <c r="V261" i="1" s="1"/>
  <c r="S261" i="1"/>
  <c r="R261" i="1"/>
  <c r="Q261" i="1"/>
  <c r="O261" i="1"/>
  <c r="P261" i="1" s="1"/>
  <c r="N261" i="1"/>
  <c r="L261" i="1"/>
  <c r="K261" i="1"/>
  <c r="I261" i="1"/>
  <c r="H261" i="1"/>
  <c r="F261" i="1"/>
  <c r="E261" i="1"/>
  <c r="AB260" i="1"/>
  <c r="Y260" i="1"/>
  <c r="V260" i="1"/>
  <c r="S260" i="1"/>
  <c r="O260" i="1"/>
  <c r="N260" i="1"/>
  <c r="B260" i="1" s="1"/>
  <c r="M260" i="1"/>
  <c r="J260" i="1"/>
  <c r="G260" i="1"/>
  <c r="AB259" i="1"/>
  <c r="Y259" i="1"/>
  <c r="V259" i="1"/>
  <c r="S259" i="1"/>
  <c r="O259" i="1"/>
  <c r="N259" i="1"/>
  <c r="N258" i="1" s="1"/>
  <c r="N257" i="1" s="1"/>
  <c r="M259" i="1"/>
  <c r="J259" i="1"/>
  <c r="G259" i="1"/>
  <c r="B259" i="1"/>
  <c r="AA258" i="1"/>
  <c r="AB258" i="1" s="1"/>
  <c r="Z258" i="1"/>
  <c r="X258" i="1"/>
  <c r="Y258" i="1" s="1"/>
  <c r="W258" i="1"/>
  <c r="U258" i="1"/>
  <c r="T258" i="1"/>
  <c r="R258" i="1"/>
  <c r="Q258" i="1"/>
  <c r="L258" i="1"/>
  <c r="K258" i="1"/>
  <c r="I258" i="1"/>
  <c r="H258" i="1"/>
  <c r="F258" i="1"/>
  <c r="E258" i="1"/>
  <c r="AA257" i="1"/>
  <c r="AB256" i="1"/>
  <c r="Y256" i="1"/>
  <c r="V256" i="1"/>
  <c r="S256" i="1"/>
  <c r="P256" i="1"/>
  <c r="M256" i="1"/>
  <c r="J256" i="1"/>
  <c r="G256" i="1"/>
  <c r="C256" i="1"/>
  <c r="B256" i="1"/>
  <c r="AA255" i="1"/>
  <c r="Z255" i="1"/>
  <c r="Y255" i="1"/>
  <c r="V255" i="1"/>
  <c r="S255" i="1"/>
  <c r="P255" i="1"/>
  <c r="M255" i="1"/>
  <c r="I255" i="1"/>
  <c r="H255" i="1"/>
  <c r="G255" i="1"/>
  <c r="AA254" i="1"/>
  <c r="X254" i="1"/>
  <c r="W254" i="1"/>
  <c r="Y254" i="1" s="1"/>
  <c r="U254" i="1"/>
  <c r="V254" i="1" s="1"/>
  <c r="T254" i="1"/>
  <c r="R254" i="1"/>
  <c r="Q254" i="1"/>
  <c r="S254" i="1" s="1"/>
  <c r="P254" i="1"/>
  <c r="O254" i="1"/>
  <c r="N254" i="1"/>
  <c r="L254" i="1"/>
  <c r="K254" i="1"/>
  <c r="H254" i="1"/>
  <c r="F254" i="1"/>
  <c r="E254" i="1"/>
  <c r="AB253" i="1"/>
  <c r="Y253" i="1"/>
  <c r="V253" i="1"/>
  <c r="S253" i="1"/>
  <c r="P253" i="1"/>
  <c r="L253" i="1"/>
  <c r="L244" i="1" s="1"/>
  <c r="J253" i="1"/>
  <c r="G253" i="1"/>
  <c r="C253" i="1"/>
  <c r="B253" i="1"/>
  <c r="AB252" i="1"/>
  <c r="Y252" i="1"/>
  <c r="V252" i="1"/>
  <c r="S252" i="1"/>
  <c r="P252" i="1"/>
  <c r="M252" i="1"/>
  <c r="J252" i="1"/>
  <c r="G252" i="1"/>
  <c r="C252" i="1"/>
  <c r="B252" i="1"/>
  <c r="AB251" i="1"/>
  <c r="Y251" i="1"/>
  <c r="V251" i="1"/>
  <c r="S251" i="1"/>
  <c r="P251" i="1"/>
  <c r="M251" i="1"/>
  <c r="J251" i="1"/>
  <c r="G251" i="1"/>
  <c r="C251" i="1"/>
  <c r="B251" i="1"/>
  <c r="AB250" i="1"/>
  <c r="Y250" i="1"/>
  <c r="V250" i="1"/>
  <c r="S250" i="1"/>
  <c r="P250" i="1"/>
  <c r="M250" i="1"/>
  <c r="J250" i="1"/>
  <c r="G250" i="1"/>
  <c r="D250" i="1" s="1"/>
  <c r="C250" i="1"/>
  <c r="B250" i="1"/>
  <c r="AB249" i="1"/>
  <c r="Y249" i="1"/>
  <c r="V249" i="1"/>
  <c r="S249" i="1"/>
  <c r="P249" i="1"/>
  <c r="M249" i="1"/>
  <c r="J249" i="1"/>
  <c r="G249" i="1"/>
  <c r="C249" i="1"/>
  <c r="B249" i="1"/>
  <c r="AB248" i="1"/>
  <c r="Y248" i="1"/>
  <c r="V248" i="1"/>
  <c r="S248" i="1"/>
  <c r="P248" i="1"/>
  <c r="M248" i="1"/>
  <c r="J248" i="1"/>
  <c r="G248" i="1"/>
  <c r="D248" i="1" s="1"/>
  <c r="C248" i="1"/>
  <c r="B248" i="1"/>
  <c r="AB247" i="1"/>
  <c r="Y247" i="1"/>
  <c r="V247" i="1"/>
  <c r="S247" i="1"/>
  <c r="P247" i="1"/>
  <c r="L247" i="1"/>
  <c r="M247" i="1" s="1"/>
  <c r="K247" i="1"/>
  <c r="J247" i="1"/>
  <c r="G247" i="1"/>
  <c r="C247" i="1"/>
  <c r="AB246" i="1"/>
  <c r="Y246" i="1"/>
  <c r="V246" i="1"/>
  <c r="S246" i="1"/>
  <c r="P246" i="1"/>
  <c r="M246" i="1"/>
  <c r="D246" i="1" s="1"/>
  <c r="J246" i="1"/>
  <c r="G246" i="1"/>
  <c r="C246" i="1"/>
  <c r="B246" i="1"/>
  <c r="AB245" i="1"/>
  <c r="Y245" i="1"/>
  <c r="V245" i="1"/>
  <c r="S245" i="1"/>
  <c r="P245" i="1"/>
  <c r="M245" i="1"/>
  <c r="J245" i="1"/>
  <c r="G245" i="1"/>
  <c r="C245" i="1"/>
  <c r="B245" i="1"/>
  <c r="AB244" i="1"/>
  <c r="AA244" i="1"/>
  <c r="Z244" i="1"/>
  <c r="X244" i="1"/>
  <c r="Y244" i="1" s="1"/>
  <c r="W244" i="1"/>
  <c r="U244" i="1"/>
  <c r="T244" i="1"/>
  <c r="R244" i="1"/>
  <c r="Q244" i="1"/>
  <c r="O244" i="1"/>
  <c r="P244" i="1" s="1"/>
  <c r="N244" i="1"/>
  <c r="I244" i="1"/>
  <c r="H244" i="1"/>
  <c r="F244" i="1"/>
  <c r="E244" i="1"/>
  <c r="AB243" i="1"/>
  <c r="Y243" i="1"/>
  <c r="V243" i="1"/>
  <c r="S243" i="1"/>
  <c r="P243" i="1"/>
  <c r="M243" i="1"/>
  <c r="D243" i="1" s="1"/>
  <c r="J243" i="1"/>
  <c r="G243" i="1"/>
  <c r="C243" i="1"/>
  <c r="B243" i="1"/>
  <c r="AA242" i="1"/>
  <c r="Z242" i="1"/>
  <c r="X242" i="1"/>
  <c r="X216" i="1" s="1"/>
  <c r="W242" i="1"/>
  <c r="U242" i="1"/>
  <c r="V242" i="1" s="1"/>
  <c r="T242" i="1"/>
  <c r="R242" i="1"/>
  <c r="Q242" i="1"/>
  <c r="O242" i="1"/>
  <c r="N242" i="1"/>
  <c r="L242" i="1"/>
  <c r="K242" i="1"/>
  <c r="I242" i="1"/>
  <c r="H242" i="1"/>
  <c r="J242" i="1" s="1"/>
  <c r="F242" i="1"/>
  <c r="G242" i="1" s="1"/>
  <c r="E242" i="1"/>
  <c r="AB241" i="1"/>
  <c r="Y241" i="1"/>
  <c r="V241" i="1"/>
  <c r="S241" i="1"/>
  <c r="P241" i="1"/>
  <c r="M241" i="1"/>
  <c r="J241" i="1"/>
  <c r="G241" i="1"/>
  <c r="C241" i="1"/>
  <c r="B241" i="1"/>
  <c r="AB240" i="1"/>
  <c r="Y240" i="1"/>
  <c r="V240" i="1"/>
  <c r="S240" i="1"/>
  <c r="P240" i="1"/>
  <c r="M240" i="1"/>
  <c r="J240" i="1"/>
  <c r="G240" i="1"/>
  <c r="D240" i="1" s="1"/>
  <c r="C240" i="1"/>
  <c r="B240" i="1"/>
  <c r="AB239" i="1"/>
  <c r="Y239" i="1"/>
  <c r="V239" i="1"/>
  <c r="S239" i="1"/>
  <c r="P239" i="1"/>
  <c r="M239" i="1"/>
  <c r="J239" i="1"/>
  <c r="G239" i="1"/>
  <c r="C239" i="1"/>
  <c r="B239" i="1"/>
  <c r="AB238" i="1"/>
  <c r="Y238" i="1"/>
  <c r="V238" i="1"/>
  <c r="S238" i="1"/>
  <c r="P238" i="1"/>
  <c r="M238" i="1"/>
  <c r="J238" i="1"/>
  <c r="G238" i="1"/>
  <c r="D238" i="1" s="1"/>
  <c r="C238" i="1"/>
  <c r="B238" i="1"/>
  <c r="AB237" i="1"/>
  <c r="Y237" i="1"/>
  <c r="V237" i="1"/>
  <c r="S237" i="1"/>
  <c r="P237" i="1"/>
  <c r="M237" i="1"/>
  <c r="J237" i="1"/>
  <c r="G237" i="1"/>
  <c r="C237" i="1"/>
  <c r="B237" i="1"/>
  <c r="AB236" i="1"/>
  <c r="Y236" i="1"/>
  <c r="V236" i="1"/>
  <c r="S236" i="1"/>
  <c r="P236" i="1"/>
  <c r="M236" i="1"/>
  <c r="J236" i="1"/>
  <c r="G236" i="1"/>
  <c r="C236" i="1"/>
  <c r="B236" i="1"/>
  <c r="AB235" i="1"/>
  <c r="Y235" i="1"/>
  <c r="V235" i="1"/>
  <c r="S235" i="1"/>
  <c r="P235" i="1"/>
  <c r="M235" i="1"/>
  <c r="J235" i="1"/>
  <c r="G235" i="1"/>
  <c r="D235" i="1"/>
  <c r="C235" i="1"/>
  <c r="B235" i="1"/>
  <c r="AB234" i="1"/>
  <c r="Y234" i="1"/>
  <c r="V234" i="1"/>
  <c r="S234" i="1"/>
  <c r="P234" i="1"/>
  <c r="M234" i="1"/>
  <c r="L234" i="1"/>
  <c r="J234" i="1"/>
  <c r="G234" i="1"/>
  <c r="D234" i="1"/>
  <c r="C234" i="1"/>
  <c r="B234" i="1"/>
  <c r="AB233" i="1"/>
  <c r="Y233" i="1"/>
  <c r="V233" i="1"/>
  <c r="S233" i="1"/>
  <c r="P233" i="1"/>
  <c r="M233" i="1"/>
  <c r="L233" i="1"/>
  <c r="C233" i="1" s="1"/>
  <c r="K233" i="1"/>
  <c r="J233" i="1"/>
  <c r="G233" i="1"/>
  <c r="D233" i="1" s="1"/>
  <c r="B233" i="1"/>
  <c r="AB232" i="1"/>
  <c r="Y232" i="1"/>
  <c r="V232" i="1"/>
  <c r="S232" i="1"/>
  <c r="P232" i="1"/>
  <c r="M232" i="1"/>
  <c r="J232" i="1"/>
  <c r="G232" i="1"/>
  <c r="C232" i="1"/>
  <c r="B232" i="1"/>
  <c r="AB231" i="1"/>
  <c r="Y231" i="1"/>
  <c r="V231" i="1"/>
  <c r="S231" i="1"/>
  <c r="P231" i="1"/>
  <c r="M231" i="1"/>
  <c r="J231" i="1"/>
  <c r="G231" i="1"/>
  <c r="C231" i="1"/>
  <c r="B231" i="1"/>
  <c r="AB230" i="1"/>
  <c r="Y230" i="1"/>
  <c r="V230" i="1"/>
  <c r="S230" i="1"/>
  <c r="O230" i="1"/>
  <c r="N230" i="1"/>
  <c r="B230" i="1" s="1"/>
  <c r="L230" i="1"/>
  <c r="L229" i="1" s="1"/>
  <c r="M229" i="1" s="1"/>
  <c r="K230" i="1"/>
  <c r="K229" i="1" s="1"/>
  <c r="J230" i="1"/>
  <c r="G230" i="1"/>
  <c r="C230" i="1"/>
  <c r="AA229" i="1"/>
  <c r="Z229" i="1"/>
  <c r="AB229" i="1" s="1"/>
  <c r="Y229" i="1"/>
  <c r="X229" i="1"/>
  <c r="W229" i="1"/>
  <c r="U229" i="1"/>
  <c r="V229" i="1" s="1"/>
  <c r="T229" i="1"/>
  <c r="R229" i="1"/>
  <c r="Q229" i="1"/>
  <c r="N229" i="1"/>
  <c r="I229" i="1"/>
  <c r="J229" i="1" s="1"/>
  <c r="H229" i="1"/>
  <c r="F229" i="1"/>
  <c r="E229" i="1"/>
  <c r="AB228" i="1"/>
  <c r="Y228" i="1"/>
  <c r="V228" i="1"/>
  <c r="S228" i="1"/>
  <c r="P228" i="1"/>
  <c r="M228" i="1"/>
  <c r="L228" i="1"/>
  <c r="K228" i="1"/>
  <c r="J228" i="1"/>
  <c r="G228" i="1"/>
  <c r="C228" i="1"/>
  <c r="B228" i="1"/>
  <c r="AB227" i="1"/>
  <c r="Y227" i="1"/>
  <c r="V227" i="1"/>
  <c r="S227" i="1"/>
  <c r="P227" i="1"/>
  <c r="M227" i="1"/>
  <c r="D227" i="1" s="1"/>
  <c r="J227" i="1"/>
  <c r="G227" i="1"/>
  <c r="C227" i="1"/>
  <c r="B227" i="1"/>
  <c r="AB226" i="1"/>
  <c r="Y226" i="1"/>
  <c r="V226" i="1"/>
  <c r="S226" i="1"/>
  <c r="P226" i="1"/>
  <c r="L226" i="1"/>
  <c r="M226" i="1" s="1"/>
  <c r="K226" i="1"/>
  <c r="J226" i="1"/>
  <c r="G226" i="1"/>
  <c r="C226" i="1"/>
  <c r="B226" i="1"/>
  <c r="AB225" i="1"/>
  <c r="Y225" i="1"/>
  <c r="V225" i="1"/>
  <c r="S225" i="1"/>
  <c r="O225" i="1"/>
  <c r="N225" i="1"/>
  <c r="P225" i="1" s="1"/>
  <c r="L225" i="1"/>
  <c r="C225" i="1" s="1"/>
  <c r="K225" i="1"/>
  <c r="J225" i="1"/>
  <c r="G225" i="1"/>
  <c r="B225" i="1"/>
  <c r="AB224" i="1"/>
  <c r="Y224" i="1"/>
  <c r="V224" i="1"/>
  <c r="S224" i="1"/>
  <c r="P224" i="1"/>
  <c r="L224" i="1"/>
  <c r="M224" i="1" s="1"/>
  <c r="J224" i="1"/>
  <c r="G224" i="1"/>
  <c r="B224" i="1"/>
  <c r="AB223" i="1"/>
  <c r="Y223" i="1"/>
  <c r="V223" i="1"/>
  <c r="S223" i="1"/>
  <c r="P223" i="1"/>
  <c r="M223" i="1"/>
  <c r="J223" i="1"/>
  <c r="G223" i="1"/>
  <c r="C223" i="1"/>
  <c r="B223" i="1"/>
  <c r="AB222" i="1"/>
  <c r="Y222" i="1"/>
  <c r="V222" i="1"/>
  <c r="T222" i="1"/>
  <c r="S222" i="1"/>
  <c r="P222" i="1"/>
  <c r="M222" i="1"/>
  <c r="K222" i="1"/>
  <c r="J222" i="1"/>
  <c r="G222" i="1"/>
  <c r="C222" i="1"/>
  <c r="B222" i="1"/>
  <c r="AB221" i="1"/>
  <c r="Y221" i="1"/>
  <c r="V221" i="1"/>
  <c r="S221" i="1"/>
  <c r="P221" i="1"/>
  <c r="L221" i="1"/>
  <c r="L217" i="1" s="1"/>
  <c r="L216" i="1" s="1"/>
  <c r="K221" i="1"/>
  <c r="M221" i="1" s="1"/>
  <c r="J221" i="1"/>
  <c r="G221" i="1"/>
  <c r="C221" i="1"/>
  <c r="B221" i="1"/>
  <c r="AB220" i="1"/>
  <c r="Y220" i="1"/>
  <c r="V220" i="1"/>
  <c r="S220" i="1"/>
  <c r="P220" i="1"/>
  <c r="K220" i="1"/>
  <c r="J220" i="1"/>
  <c r="G220" i="1"/>
  <c r="C220" i="1"/>
  <c r="B220" i="1"/>
  <c r="AB219" i="1"/>
  <c r="Y219" i="1"/>
  <c r="U219" i="1"/>
  <c r="T219" i="1"/>
  <c r="T217" i="1" s="1"/>
  <c r="S219" i="1"/>
  <c r="P219" i="1"/>
  <c r="M219" i="1"/>
  <c r="J219" i="1"/>
  <c r="G219" i="1"/>
  <c r="C219" i="1"/>
  <c r="B219" i="1"/>
  <c r="AB218" i="1"/>
  <c r="Y218" i="1"/>
  <c r="V218" i="1"/>
  <c r="S218" i="1"/>
  <c r="P218" i="1"/>
  <c r="M218" i="1"/>
  <c r="J218" i="1"/>
  <c r="G218" i="1"/>
  <c r="C218" i="1"/>
  <c r="B218" i="1"/>
  <c r="AA217" i="1"/>
  <c r="Z217" i="1"/>
  <c r="AB217" i="1" s="1"/>
  <c r="Y217" i="1"/>
  <c r="X217" i="1"/>
  <c r="W217" i="1"/>
  <c r="U217" i="1"/>
  <c r="R217" i="1"/>
  <c r="Q217" i="1"/>
  <c r="O217" i="1"/>
  <c r="P217" i="1" s="1"/>
  <c r="N217" i="1"/>
  <c r="I217" i="1"/>
  <c r="H217" i="1"/>
  <c r="H216" i="1" s="1"/>
  <c r="F217" i="1"/>
  <c r="F216" i="1" s="1"/>
  <c r="E217" i="1"/>
  <c r="W216" i="1"/>
  <c r="N216" i="1"/>
  <c r="E216" i="1"/>
  <c r="AB215" i="1"/>
  <c r="Y215" i="1"/>
  <c r="V215" i="1"/>
  <c r="S215" i="1"/>
  <c r="P215" i="1"/>
  <c r="M215" i="1"/>
  <c r="J215" i="1"/>
  <c r="G215" i="1"/>
  <c r="D215" i="1" s="1"/>
  <c r="C215" i="1"/>
  <c r="B215" i="1"/>
  <c r="AA214" i="1"/>
  <c r="AB214" i="1" s="1"/>
  <c r="Z214" i="1"/>
  <c r="X214" i="1"/>
  <c r="Y214" i="1" s="1"/>
  <c r="W214" i="1"/>
  <c r="U214" i="1"/>
  <c r="V214" i="1" s="1"/>
  <c r="T214" i="1"/>
  <c r="R214" i="1"/>
  <c r="Q214" i="1"/>
  <c r="S214" i="1" s="1"/>
  <c r="P214" i="1"/>
  <c r="O214" i="1"/>
  <c r="N214" i="1"/>
  <c r="L214" i="1"/>
  <c r="K214" i="1"/>
  <c r="I214" i="1"/>
  <c r="J214" i="1" s="1"/>
  <c r="H214" i="1"/>
  <c r="F214" i="1"/>
  <c r="G214" i="1" s="1"/>
  <c r="E214" i="1"/>
  <c r="AB213" i="1"/>
  <c r="Y213" i="1"/>
  <c r="V213" i="1"/>
  <c r="S213" i="1"/>
  <c r="P213" i="1"/>
  <c r="M213" i="1"/>
  <c r="J213" i="1"/>
  <c r="D213" i="1" s="1"/>
  <c r="G213" i="1"/>
  <c r="C213" i="1"/>
  <c r="B213" i="1"/>
  <c r="AB212" i="1"/>
  <c r="Y212" i="1"/>
  <c r="V212" i="1"/>
  <c r="S212" i="1"/>
  <c r="P212" i="1"/>
  <c r="M212" i="1"/>
  <c r="J212" i="1"/>
  <c r="G212" i="1"/>
  <c r="C212" i="1"/>
  <c r="B212" i="1"/>
  <c r="AB211" i="1"/>
  <c r="Y211" i="1"/>
  <c r="V211" i="1"/>
  <c r="S211" i="1"/>
  <c r="P211" i="1"/>
  <c r="M211" i="1"/>
  <c r="J211" i="1"/>
  <c r="G211" i="1"/>
  <c r="C211" i="1"/>
  <c r="B211" i="1"/>
  <c r="AB210" i="1"/>
  <c r="Y210" i="1"/>
  <c r="V210" i="1"/>
  <c r="S210" i="1"/>
  <c r="P210" i="1"/>
  <c r="M210" i="1"/>
  <c r="J210" i="1"/>
  <c r="G210" i="1"/>
  <c r="D210" i="1"/>
  <c r="C210" i="1"/>
  <c r="B210" i="1"/>
  <c r="AA209" i="1"/>
  <c r="Z209" i="1"/>
  <c r="Z208" i="1" s="1"/>
  <c r="Y209" i="1"/>
  <c r="V209" i="1"/>
  <c r="S209" i="1"/>
  <c r="P209" i="1"/>
  <c r="L209" i="1"/>
  <c r="M209" i="1" s="1"/>
  <c r="K209" i="1"/>
  <c r="K208" i="1" s="1"/>
  <c r="J209" i="1"/>
  <c r="G209" i="1"/>
  <c r="Y208" i="1"/>
  <c r="X208" i="1"/>
  <c r="X202" i="1" s="1"/>
  <c r="W208" i="1"/>
  <c r="U208" i="1"/>
  <c r="V208" i="1" s="1"/>
  <c r="T208" i="1"/>
  <c r="T202" i="1" s="1"/>
  <c r="R208" i="1"/>
  <c r="Q208" i="1"/>
  <c r="O208" i="1"/>
  <c r="P208" i="1" s="1"/>
  <c r="N208" i="1"/>
  <c r="I208" i="1"/>
  <c r="H208" i="1"/>
  <c r="F208" i="1"/>
  <c r="G208" i="1" s="1"/>
  <c r="E208" i="1"/>
  <c r="AB207" i="1"/>
  <c r="Y207" i="1"/>
  <c r="V207" i="1"/>
  <c r="S207" i="1"/>
  <c r="P207" i="1"/>
  <c r="M207" i="1"/>
  <c r="J207" i="1"/>
  <c r="G207" i="1"/>
  <c r="C207" i="1"/>
  <c r="B207" i="1"/>
  <c r="AB206" i="1"/>
  <c r="Y206" i="1"/>
  <c r="V206" i="1"/>
  <c r="S206" i="1"/>
  <c r="P206" i="1"/>
  <c r="M206" i="1"/>
  <c r="J206" i="1"/>
  <c r="G206" i="1"/>
  <c r="D206" i="1"/>
  <c r="C206" i="1"/>
  <c r="B206" i="1"/>
  <c r="AA205" i="1"/>
  <c r="Z205" i="1"/>
  <c r="X205" i="1"/>
  <c r="Y205" i="1" s="1"/>
  <c r="W205" i="1"/>
  <c r="U205" i="1"/>
  <c r="T205" i="1"/>
  <c r="R205" i="1"/>
  <c r="Q205" i="1"/>
  <c r="O205" i="1"/>
  <c r="N205" i="1"/>
  <c r="L205" i="1"/>
  <c r="K205" i="1"/>
  <c r="I205" i="1"/>
  <c r="J205" i="1" s="1"/>
  <c r="H205" i="1"/>
  <c r="G205" i="1"/>
  <c r="F205" i="1"/>
  <c r="E205" i="1"/>
  <c r="AB204" i="1"/>
  <c r="Y204" i="1"/>
  <c r="V204" i="1"/>
  <c r="S204" i="1"/>
  <c r="P204" i="1"/>
  <c r="M204" i="1"/>
  <c r="J204" i="1"/>
  <c r="G204" i="1"/>
  <c r="D204" i="1" s="1"/>
  <c r="C204" i="1"/>
  <c r="B204" i="1"/>
  <c r="AA203" i="1"/>
  <c r="AB203" i="1" s="1"/>
  <c r="Z203" i="1"/>
  <c r="X203" i="1"/>
  <c r="W203" i="1"/>
  <c r="U203" i="1"/>
  <c r="V203" i="1" s="1"/>
  <c r="T203" i="1"/>
  <c r="R203" i="1"/>
  <c r="Q203" i="1"/>
  <c r="Q202" i="1" s="1"/>
  <c r="P203" i="1"/>
  <c r="O203" i="1"/>
  <c r="N203" i="1"/>
  <c r="L203" i="1"/>
  <c r="M203" i="1" s="1"/>
  <c r="K203" i="1"/>
  <c r="I203" i="1"/>
  <c r="H203" i="1"/>
  <c r="F203" i="1"/>
  <c r="G203" i="1" s="1"/>
  <c r="E203" i="1"/>
  <c r="H202" i="1"/>
  <c r="AB201" i="1"/>
  <c r="Y201" i="1"/>
  <c r="V201" i="1"/>
  <c r="S201" i="1"/>
  <c r="P201" i="1"/>
  <c r="M201" i="1"/>
  <c r="J201" i="1"/>
  <c r="G201" i="1"/>
  <c r="C201" i="1"/>
  <c r="B201" i="1"/>
  <c r="AA200" i="1"/>
  <c r="Z200" i="1"/>
  <c r="X200" i="1"/>
  <c r="Y200" i="1" s="1"/>
  <c r="W200" i="1"/>
  <c r="V200" i="1"/>
  <c r="U200" i="1"/>
  <c r="T200" i="1"/>
  <c r="R200" i="1"/>
  <c r="S200" i="1" s="1"/>
  <c r="Q200" i="1"/>
  <c r="O200" i="1"/>
  <c r="N200" i="1"/>
  <c r="M200" i="1"/>
  <c r="L200" i="1"/>
  <c r="K200" i="1"/>
  <c r="I200" i="1"/>
  <c r="J200" i="1" s="1"/>
  <c r="H200" i="1"/>
  <c r="F200" i="1"/>
  <c r="E200" i="1"/>
  <c r="B200" i="1"/>
  <c r="AB199" i="1"/>
  <c r="Y199" i="1"/>
  <c r="V199" i="1"/>
  <c r="S199" i="1"/>
  <c r="P199" i="1"/>
  <c r="M199" i="1"/>
  <c r="J199" i="1"/>
  <c r="G199" i="1"/>
  <c r="D199" i="1" s="1"/>
  <c r="C199" i="1"/>
  <c r="B199" i="1"/>
  <c r="AA198" i="1"/>
  <c r="Z198" i="1"/>
  <c r="X198" i="1"/>
  <c r="W198" i="1"/>
  <c r="U198" i="1"/>
  <c r="T198" i="1"/>
  <c r="R198" i="1"/>
  <c r="Q198" i="1"/>
  <c r="S198" i="1" s="1"/>
  <c r="O198" i="1"/>
  <c r="P198" i="1" s="1"/>
  <c r="N198" i="1"/>
  <c r="L198" i="1"/>
  <c r="K198" i="1"/>
  <c r="I198" i="1"/>
  <c r="J198" i="1" s="1"/>
  <c r="H198" i="1"/>
  <c r="F198" i="1"/>
  <c r="E198" i="1"/>
  <c r="G198" i="1" s="1"/>
  <c r="AB197" i="1"/>
  <c r="Y197" i="1"/>
  <c r="V197" i="1"/>
  <c r="S197" i="1"/>
  <c r="P197" i="1"/>
  <c r="L197" i="1"/>
  <c r="C197" i="1" s="1"/>
  <c r="K197" i="1"/>
  <c r="J197" i="1"/>
  <c r="G197" i="1"/>
  <c r="B197" i="1"/>
  <c r="AB196" i="1"/>
  <c r="Y196" i="1"/>
  <c r="V196" i="1"/>
  <c r="S196" i="1"/>
  <c r="P196" i="1"/>
  <c r="L196" i="1"/>
  <c r="K196" i="1"/>
  <c r="J196" i="1"/>
  <c r="G196" i="1"/>
  <c r="C196" i="1"/>
  <c r="B196" i="1"/>
  <c r="AB195" i="1"/>
  <c r="Y195" i="1"/>
  <c r="V195" i="1"/>
  <c r="S195" i="1"/>
  <c r="P195" i="1"/>
  <c r="M195" i="1"/>
  <c r="J195" i="1"/>
  <c r="G195" i="1"/>
  <c r="D195" i="1" s="1"/>
  <c r="C195" i="1"/>
  <c r="B195" i="1"/>
  <c r="AB194" i="1"/>
  <c r="Y194" i="1"/>
  <c r="V194" i="1"/>
  <c r="S194" i="1"/>
  <c r="P194" i="1"/>
  <c r="M194" i="1"/>
  <c r="D194" i="1" s="1"/>
  <c r="J194" i="1"/>
  <c r="G194" i="1"/>
  <c r="C194" i="1"/>
  <c r="B194" i="1"/>
  <c r="AB193" i="1"/>
  <c r="Y193" i="1"/>
  <c r="V193" i="1"/>
  <c r="S193" i="1"/>
  <c r="P193" i="1"/>
  <c r="M193" i="1"/>
  <c r="J193" i="1"/>
  <c r="G193" i="1"/>
  <c r="C193" i="1"/>
  <c r="B193" i="1"/>
  <c r="AA192" i="1"/>
  <c r="AB192" i="1" s="1"/>
  <c r="Z192" i="1"/>
  <c r="X192" i="1"/>
  <c r="W192" i="1"/>
  <c r="Y192" i="1" s="1"/>
  <c r="V192" i="1"/>
  <c r="U192" i="1"/>
  <c r="T192" i="1"/>
  <c r="R192" i="1"/>
  <c r="Q192" i="1"/>
  <c r="O192" i="1"/>
  <c r="P192" i="1" s="1"/>
  <c r="N192" i="1"/>
  <c r="J192" i="1"/>
  <c r="I192" i="1"/>
  <c r="H192" i="1"/>
  <c r="F192" i="1"/>
  <c r="E192" i="1"/>
  <c r="AB191" i="1"/>
  <c r="Y191" i="1"/>
  <c r="V191" i="1"/>
  <c r="S191" i="1"/>
  <c r="P191" i="1"/>
  <c r="M191" i="1"/>
  <c r="J191" i="1"/>
  <c r="G191" i="1"/>
  <c r="C191" i="1"/>
  <c r="B191" i="1"/>
  <c r="AB190" i="1"/>
  <c r="AA190" i="1"/>
  <c r="Z190" i="1"/>
  <c r="X190" i="1"/>
  <c r="W190" i="1"/>
  <c r="W183" i="1" s="1"/>
  <c r="U190" i="1"/>
  <c r="V190" i="1" s="1"/>
  <c r="T190" i="1"/>
  <c r="R190" i="1"/>
  <c r="Q190" i="1"/>
  <c r="S190" i="1" s="1"/>
  <c r="O190" i="1"/>
  <c r="N190" i="1"/>
  <c r="P190" i="1" s="1"/>
  <c r="L190" i="1"/>
  <c r="M190" i="1" s="1"/>
  <c r="K190" i="1"/>
  <c r="I190" i="1"/>
  <c r="H190" i="1"/>
  <c r="F190" i="1"/>
  <c r="E190" i="1"/>
  <c r="AB189" i="1"/>
  <c r="Y189" i="1"/>
  <c r="V189" i="1"/>
  <c r="S189" i="1"/>
  <c r="P189" i="1"/>
  <c r="L189" i="1"/>
  <c r="K189" i="1"/>
  <c r="J189" i="1"/>
  <c r="G189" i="1"/>
  <c r="B189" i="1"/>
  <c r="AB188" i="1"/>
  <c r="Y188" i="1"/>
  <c r="V188" i="1"/>
  <c r="S188" i="1"/>
  <c r="P188" i="1"/>
  <c r="M188" i="1"/>
  <c r="J188" i="1"/>
  <c r="G188" i="1"/>
  <c r="D188" i="1" s="1"/>
  <c r="C188" i="1"/>
  <c r="B188" i="1"/>
  <c r="AB187" i="1"/>
  <c r="Y187" i="1"/>
  <c r="V187" i="1"/>
  <c r="S187" i="1"/>
  <c r="P187" i="1"/>
  <c r="M187" i="1"/>
  <c r="J187" i="1"/>
  <c r="G187" i="1"/>
  <c r="C187" i="1"/>
  <c r="B187" i="1"/>
  <c r="AB186" i="1"/>
  <c r="Y186" i="1"/>
  <c r="V186" i="1"/>
  <c r="S186" i="1"/>
  <c r="P186" i="1"/>
  <c r="M186" i="1"/>
  <c r="J186" i="1"/>
  <c r="G186" i="1"/>
  <c r="C186" i="1"/>
  <c r="B186" i="1"/>
  <c r="AB185" i="1"/>
  <c r="Y185" i="1"/>
  <c r="V185" i="1"/>
  <c r="S185" i="1"/>
  <c r="P185" i="1"/>
  <c r="M185" i="1"/>
  <c r="J185" i="1"/>
  <c r="G185" i="1"/>
  <c r="C185" i="1"/>
  <c r="B185" i="1"/>
  <c r="AA184" i="1"/>
  <c r="AB184" i="1" s="1"/>
  <c r="Z184" i="1"/>
  <c r="X184" i="1"/>
  <c r="Y184" i="1" s="1"/>
  <c r="W184" i="1"/>
  <c r="U184" i="1"/>
  <c r="T184" i="1"/>
  <c r="T183" i="1" s="1"/>
  <c r="R184" i="1"/>
  <c r="Q184" i="1"/>
  <c r="O184" i="1"/>
  <c r="N184" i="1"/>
  <c r="K184" i="1"/>
  <c r="I184" i="1"/>
  <c r="H184" i="1"/>
  <c r="F184" i="1"/>
  <c r="E184" i="1"/>
  <c r="G184" i="1" s="1"/>
  <c r="AA183" i="1"/>
  <c r="AB181" i="1"/>
  <c r="Z181" i="1"/>
  <c r="Y181" i="1"/>
  <c r="V181" i="1"/>
  <c r="S181" i="1"/>
  <c r="P181" i="1"/>
  <c r="M181" i="1"/>
  <c r="I181" i="1"/>
  <c r="H181" i="1"/>
  <c r="H177" i="1" s="1"/>
  <c r="H176" i="1" s="1"/>
  <c r="F181" i="1"/>
  <c r="E181" i="1"/>
  <c r="B181" i="1"/>
  <c r="AB180" i="1"/>
  <c r="Y180" i="1"/>
  <c r="V180" i="1"/>
  <c r="S180" i="1"/>
  <c r="P180" i="1"/>
  <c r="M180" i="1"/>
  <c r="J180" i="1"/>
  <c r="G180" i="1"/>
  <c r="D180" i="1" s="1"/>
  <c r="F180" i="1"/>
  <c r="E180" i="1"/>
  <c r="C180" i="1"/>
  <c r="B180" i="1"/>
  <c r="AB179" i="1"/>
  <c r="Y179" i="1"/>
  <c r="V179" i="1"/>
  <c r="S179" i="1"/>
  <c r="P179" i="1"/>
  <c r="M179" i="1"/>
  <c r="J179" i="1"/>
  <c r="G179" i="1"/>
  <c r="D179" i="1" s="1"/>
  <c r="C179" i="1"/>
  <c r="B179" i="1"/>
  <c r="AB178" i="1"/>
  <c r="Y178" i="1"/>
  <c r="V178" i="1"/>
  <c r="R178" i="1"/>
  <c r="C178" i="1" s="1"/>
  <c r="Q178" i="1"/>
  <c r="P178" i="1"/>
  <c r="M178" i="1"/>
  <c r="J178" i="1"/>
  <c r="G178" i="1"/>
  <c r="AA177" i="1"/>
  <c r="Z177" i="1"/>
  <c r="Z176" i="1" s="1"/>
  <c r="X177" i="1"/>
  <c r="X176" i="1" s="1"/>
  <c r="W177" i="1"/>
  <c r="U177" i="1"/>
  <c r="T177" i="1"/>
  <c r="O177" i="1"/>
  <c r="P177" i="1" s="1"/>
  <c r="N177" i="1"/>
  <c r="N176" i="1" s="1"/>
  <c r="L177" i="1"/>
  <c r="K177" i="1"/>
  <c r="M177" i="1" s="1"/>
  <c r="F177" i="1"/>
  <c r="E177" i="1"/>
  <c r="T176" i="1"/>
  <c r="L176" i="1"/>
  <c r="AB175" i="1"/>
  <c r="Y175" i="1"/>
  <c r="V175" i="1"/>
  <c r="S175" i="1"/>
  <c r="P175" i="1"/>
  <c r="M175" i="1"/>
  <c r="J175" i="1"/>
  <c r="G175" i="1"/>
  <c r="C175" i="1"/>
  <c r="B175" i="1"/>
  <c r="AA174" i="1"/>
  <c r="AB174" i="1" s="1"/>
  <c r="Z174" i="1"/>
  <c r="Z162" i="1" s="1"/>
  <c r="Z161" i="1" s="1"/>
  <c r="Y174" i="1"/>
  <c r="V174" i="1"/>
  <c r="S174" i="1"/>
  <c r="P174" i="1"/>
  <c r="M174" i="1"/>
  <c r="J174" i="1"/>
  <c r="G174" i="1"/>
  <c r="B174" i="1"/>
  <c r="AB173" i="1"/>
  <c r="Y173" i="1"/>
  <c r="V173" i="1"/>
  <c r="S173" i="1"/>
  <c r="P173" i="1"/>
  <c r="M173" i="1"/>
  <c r="D173" i="1" s="1"/>
  <c r="J173" i="1"/>
  <c r="G173" i="1"/>
  <c r="C173" i="1"/>
  <c r="B173" i="1"/>
  <c r="AB172" i="1"/>
  <c r="Y172" i="1"/>
  <c r="V172" i="1"/>
  <c r="S172" i="1"/>
  <c r="P172" i="1"/>
  <c r="M172" i="1"/>
  <c r="J172" i="1"/>
  <c r="G172" i="1"/>
  <c r="C172" i="1"/>
  <c r="B172" i="1"/>
  <c r="AB171" i="1"/>
  <c r="Y171" i="1"/>
  <c r="V171" i="1"/>
  <c r="S171" i="1"/>
  <c r="P171" i="1"/>
  <c r="M171" i="1"/>
  <c r="J171" i="1"/>
  <c r="G171" i="1"/>
  <c r="C171" i="1"/>
  <c r="B171" i="1"/>
  <c r="AB170" i="1"/>
  <c r="Y170" i="1"/>
  <c r="V170" i="1"/>
  <c r="S170" i="1"/>
  <c r="P170" i="1"/>
  <c r="M170" i="1"/>
  <c r="J170" i="1"/>
  <c r="G170" i="1"/>
  <c r="C170" i="1"/>
  <c r="B170" i="1"/>
  <c r="AB169" i="1"/>
  <c r="Y169" i="1"/>
  <c r="V169" i="1"/>
  <c r="S169" i="1"/>
  <c r="P169" i="1"/>
  <c r="M169" i="1"/>
  <c r="J169" i="1"/>
  <c r="G169" i="1"/>
  <c r="D169" i="1"/>
  <c r="C169" i="1"/>
  <c r="B169" i="1"/>
  <c r="AB168" i="1"/>
  <c r="Y168" i="1"/>
  <c r="V168" i="1"/>
  <c r="S168" i="1"/>
  <c r="P168" i="1"/>
  <c r="M168" i="1"/>
  <c r="D168" i="1" s="1"/>
  <c r="J168" i="1"/>
  <c r="G168" i="1"/>
  <c r="C168" i="1"/>
  <c r="B168" i="1"/>
  <c r="AB167" i="1"/>
  <c r="Y167" i="1"/>
  <c r="V167" i="1"/>
  <c r="S167" i="1"/>
  <c r="P167" i="1"/>
  <c r="M167" i="1"/>
  <c r="J167" i="1"/>
  <c r="G167" i="1"/>
  <c r="D167" i="1" s="1"/>
  <c r="C167" i="1"/>
  <c r="B167" i="1"/>
  <c r="AB166" i="1"/>
  <c r="Y166" i="1"/>
  <c r="V166" i="1"/>
  <c r="S166" i="1"/>
  <c r="P166" i="1"/>
  <c r="L166" i="1"/>
  <c r="J166" i="1"/>
  <c r="F166" i="1"/>
  <c r="E166" i="1"/>
  <c r="G166" i="1" s="1"/>
  <c r="AB165" i="1"/>
  <c r="Y165" i="1"/>
  <c r="V165" i="1"/>
  <c r="S165" i="1"/>
  <c r="P165" i="1"/>
  <c r="M165" i="1"/>
  <c r="J165" i="1"/>
  <c r="G165" i="1"/>
  <c r="C165" i="1"/>
  <c r="B165" i="1"/>
  <c r="AB164" i="1"/>
  <c r="Y164" i="1"/>
  <c r="V164" i="1"/>
  <c r="S164" i="1"/>
  <c r="P164" i="1"/>
  <c r="M164" i="1"/>
  <c r="J164" i="1"/>
  <c r="G164" i="1"/>
  <c r="C164" i="1"/>
  <c r="B164" i="1"/>
  <c r="AB163" i="1"/>
  <c r="Y163" i="1"/>
  <c r="V163" i="1"/>
  <c r="S163" i="1"/>
  <c r="P163" i="1"/>
  <c r="M163" i="1"/>
  <c r="J163" i="1"/>
  <c r="G163" i="1"/>
  <c r="C163" i="1"/>
  <c r="B163" i="1"/>
  <c r="X162" i="1"/>
  <c r="W162" i="1"/>
  <c r="W161" i="1" s="1"/>
  <c r="U162" i="1"/>
  <c r="V162" i="1" s="1"/>
  <c r="T162" i="1"/>
  <c r="T161" i="1" s="1"/>
  <c r="R162" i="1"/>
  <c r="Q162" i="1"/>
  <c r="S162" i="1" s="1"/>
  <c r="P162" i="1"/>
  <c r="O162" i="1"/>
  <c r="N162" i="1"/>
  <c r="K162" i="1"/>
  <c r="K161" i="1" s="1"/>
  <c r="I162" i="1"/>
  <c r="H162" i="1"/>
  <c r="H161" i="1" s="1"/>
  <c r="F162" i="1"/>
  <c r="F161" i="1" s="1"/>
  <c r="E162" i="1"/>
  <c r="G162" i="1" s="1"/>
  <c r="R161" i="1"/>
  <c r="O161" i="1"/>
  <c r="N161" i="1"/>
  <c r="AB160" i="1"/>
  <c r="Y160" i="1"/>
  <c r="V160" i="1"/>
  <c r="S160" i="1"/>
  <c r="P160" i="1"/>
  <c r="M160" i="1"/>
  <c r="J160" i="1"/>
  <c r="G160" i="1"/>
  <c r="C160" i="1"/>
  <c r="B160" i="1"/>
  <c r="AB159" i="1"/>
  <c r="Y159" i="1"/>
  <c r="V159" i="1"/>
  <c r="S159" i="1"/>
  <c r="P159" i="1"/>
  <c r="M159" i="1"/>
  <c r="J159" i="1"/>
  <c r="G159" i="1"/>
  <c r="D159" i="1" s="1"/>
  <c r="C159" i="1"/>
  <c r="B159" i="1"/>
  <c r="AB158" i="1"/>
  <c r="Y158" i="1"/>
  <c r="V158" i="1"/>
  <c r="S158" i="1"/>
  <c r="P158" i="1"/>
  <c r="M158" i="1"/>
  <c r="D158" i="1" s="1"/>
  <c r="J158" i="1"/>
  <c r="G158" i="1"/>
  <c r="C158" i="1"/>
  <c r="B158" i="1"/>
  <c r="AB157" i="1"/>
  <c r="Y157" i="1"/>
  <c r="V157" i="1"/>
  <c r="S157" i="1"/>
  <c r="P157" i="1"/>
  <c r="M157" i="1"/>
  <c r="J157" i="1"/>
  <c r="G157" i="1"/>
  <c r="C157" i="1"/>
  <c r="B157" i="1"/>
  <c r="AB156" i="1"/>
  <c r="Y156" i="1"/>
  <c r="V156" i="1"/>
  <c r="S156" i="1"/>
  <c r="P156" i="1"/>
  <c r="M156" i="1"/>
  <c r="J156" i="1"/>
  <c r="G156" i="1"/>
  <c r="C156" i="1"/>
  <c r="B156" i="1"/>
  <c r="AB155" i="1"/>
  <c r="Y155" i="1"/>
  <c r="V155" i="1"/>
  <c r="S155" i="1"/>
  <c r="P155" i="1"/>
  <c r="L155" i="1"/>
  <c r="K155" i="1"/>
  <c r="B155" i="1" s="1"/>
  <c r="J155" i="1"/>
  <c r="G155" i="1"/>
  <c r="C155" i="1"/>
  <c r="AB154" i="1"/>
  <c r="Y154" i="1"/>
  <c r="V154" i="1"/>
  <c r="S154" i="1"/>
  <c r="P154" i="1"/>
  <c r="M154" i="1"/>
  <c r="J154" i="1"/>
  <c r="G154" i="1"/>
  <c r="C154" i="1"/>
  <c r="B154" i="1"/>
  <c r="AB153" i="1"/>
  <c r="Y153" i="1"/>
  <c r="V153" i="1"/>
  <c r="S153" i="1"/>
  <c r="P153" i="1"/>
  <c r="L153" i="1"/>
  <c r="K153" i="1"/>
  <c r="B153" i="1" s="1"/>
  <c r="J153" i="1"/>
  <c r="G153" i="1"/>
  <c r="C153" i="1"/>
  <c r="AB152" i="1"/>
  <c r="Y152" i="1"/>
  <c r="V152" i="1"/>
  <c r="S152" i="1"/>
  <c r="P152" i="1"/>
  <c r="L152" i="1"/>
  <c r="K152" i="1"/>
  <c r="B152" i="1" s="1"/>
  <c r="J152" i="1"/>
  <c r="G152" i="1"/>
  <c r="AB151" i="1"/>
  <c r="Y151" i="1"/>
  <c r="V151" i="1"/>
  <c r="S151" i="1"/>
  <c r="P151" i="1"/>
  <c r="M151" i="1"/>
  <c r="J151" i="1"/>
  <c r="G151" i="1"/>
  <c r="C151" i="1"/>
  <c r="B151" i="1"/>
  <c r="AB150" i="1"/>
  <c r="Y150" i="1"/>
  <c r="V150" i="1"/>
  <c r="S150" i="1"/>
  <c r="P150" i="1"/>
  <c r="L150" i="1"/>
  <c r="M150" i="1" s="1"/>
  <c r="D150" i="1" s="1"/>
  <c r="K150" i="1"/>
  <c r="B150" i="1" s="1"/>
  <c r="J150" i="1"/>
  <c r="G150" i="1"/>
  <c r="AB149" i="1"/>
  <c r="Y149" i="1"/>
  <c r="V149" i="1"/>
  <c r="S149" i="1"/>
  <c r="P149" i="1"/>
  <c r="M149" i="1"/>
  <c r="J149" i="1"/>
  <c r="G149" i="1"/>
  <c r="C149" i="1"/>
  <c r="B149" i="1"/>
  <c r="AB148" i="1"/>
  <c r="Y148" i="1"/>
  <c r="V148" i="1"/>
  <c r="S148" i="1"/>
  <c r="P148" i="1"/>
  <c r="M148" i="1"/>
  <c r="J148" i="1"/>
  <c r="G148" i="1"/>
  <c r="C148" i="1"/>
  <c r="B148" i="1"/>
  <c r="AB147" i="1"/>
  <c r="Y147" i="1"/>
  <c r="V147" i="1"/>
  <c r="S147" i="1"/>
  <c r="P147" i="1"/>
  <c r="M147" i="1"/>
  <c r="J147" i="1"/>
  <c r="G147" i="1"/>
  <c r="C147" i="1"/>
  <c r="B147" i="1"/>
  <c r="AB146" i="1"/>
  <c r="Y146" i="1"/>
  <c r="V146" i="1"/>
  <c r="S146" i="1"/>
  <c r="P146" i="1"/>
  <c r="M146" i="1"/>
  <c r="J146" i="1"/>
  <c r="G146" i="1"/>
  <c r="C146" i="1"/>
  <c r="B146" i="1"/>
  <c r="AB145" i="1"/>
  <c r="Y145" i="1"/>
  <c r="V145" i="1"/>
  <c r="S145" i="1"/>
  <c r="P145" i="1"/>
  <c r="M145" i="1"/>
  <c r="J145" i="1"/>
  <c r="G145" i="1"/>
  <c r="C145" i="1"/>
  <c r="B145" i="1"/>
  <c r="AB144" i="1"/>
  <c r="Y144" i="1"/>
  <c r="V144" i="1"/>
  <c r="S144" i="1"/>
  <c r="P144" i="1"/>
  <c r="M144" i="1"/>
  <c r="J144" i="1"/>
  <c r="G144" i="1"/>
  <c r="C144" i="1"/>
  <c r="B144" i="1"/>
  <c r="AB143" i="1"/>
  <c r="Y143" i="1"/>
  <c r="V143" i="1"/>
  <c r="S143" i="1"/>
  <c r="P143" i="1"/>
  <c r="M143" i="1"/>
  <c r="J143" i="1"/>
  <c r="G143" i="1"/>
  <c r="D143" i="1" s="1"/>
  <c r="C143" i="1"/>
  <c r="B143" i="1"/>
  <c r="AB142" i="1"/>
  <c r="Y142" i="1"/>
  <c r="V142" i="1"/>
  <c r="S142" i="1"/>
  <c r="P142" i="1"/>
  <c r="M142" i="1"/>
  <c r="D142" i="1" s="1"/>
  <c r="J142" i="1"/>
  <c r="G142" i="1"/>
  <c r="C142" i="1"/>
  <c r="B142" i="1"/>
  <c r="AB141" i="1"/>
  <c r="Y141" i="1"/>
  <c r="V141" i="1"/>
  <c r="S141" i="1"/>
  <c r="P141" i="1"/>
  <c r="M141" i="1"/>
  <c r="J141" i="1"/>
  <c r="G141" i="1"/>
  <c r="C141" i="1"/>
  <c r="B141" i="1"/>
  <c r="AB140" i="1"/>
  <c r="Y140" i="1"/>
  <c r="V140" i="1"/>
  <c r="S140" i="1"/>
  <c r="P140" i="1"/>
  <c r="M140" i="1"/>
  <c r="J140" i="1"/>
  <c r="G140" i="1"/>
  <c r="C140" i="1"/>
  <c r="B140" i="1"/>
  <c r="AB139" i="1"/>
  <c r="Y139" i="1"/>
  <c r="V139" i="1"/>
  <c r="S139" i="1"/>
  <c r="P139" i="1"/>
  <c r="M139" i="1"/>
  <c r="J139" i="1"/>
  <c r="G139" i="1"/>
  <c r="C139" i="1"/>
  <c r="B139" i="1"/>
  <c r="AB138" i="1"/>
  <c r="Y138" i="1"/>
  <c r="V138" i="1"/>
  <c r="S138" i="1"/>
  <c r="P138" i="1"/>
  <c r="M138" i="1"/>
  <c r="J138" i="1"/>
  <c r="G138" i="1"/>
  <c r="D138" i="1"/>
  <c r="C138" i="1"/>
  <c r="B138" i="1"/>
  <c r="AB137" i="1"/>
  <c r="Y137" i="1"/>
  <c r="V137" i="1"/>
  <c r="S137" i="1"/>
  <c r="P137" i="1"/>
  <c r="M137" i="1"/>
  <c r="D137" i="1" s="1"/>
  <c r="J137" i="1"/>
  <c r="G137" i="1"/>
  <c r="C137" i="1"/>
  <c r="B137" i="1"/>
  <c r="AB136" i="1"/>
  <c r="Y136" i="1"/>
  <c r="V136" i="1"/>
  <c r="S136" i="1"/>
  <c r="P136" i="1"/>
  <c r="M136" i="1"/>
  <c r="J136" i="1"/>
  <c r="G136" i="1"/>
  <c r="C136" i="1"/>
  <c r="B136" i="1"/>
  <c r="AB135" i="1"/>
  <c r="Y135" i="1"/>
  <c r="V135" i="1"/>
  <c r="S135" i="1"/>
  <c r="P135" i="1"/>
  <c r="M135" i="1"/>
  <c r="J135" i="1"/>
  <c r="G135" i="1"/>
  <c r="C135" i="1"/>
  <c r="B135" i="1"/>
  <c r="AB134" i="1"/>
  <c r="Y134" i="1"/>
  <c r="V134" i="1"/>
  <c r="S134" i="1"/>
  <c r="P134" i="1"/>
  <c r="M134" i="1"/>
  <c r="J134" i="1"/>
  <c r="G134" i="1"/>
  <c r="D134" i="1" s="1"/>
  <c r="C134" i="1"/>
  <c r="B134" i="1"/>
  <c r="AB133" i="1"/>
  <c r="Y133" i="1"/>
  <c r="V133" i="1"/>
  <c r="S133" i="1"/>
  <c r="P133" i="1"/>
  <c r="M133" i="1"/>
  <c r="J133" i="1"/>
  <c r="G133" i="1"/>
  <c r="C133" i="1"/>
  <c r="B133" i="1"/>
  <c r="AB132" i="1"/>
  <c r="Y132" i="1"/>
  <c r="V132" i="1"/>
  <c r="S132" i="1"/>
  <c r="P132" i="1"/>
  <c r="L132" i="1"/>
  <c r="K132" i="1"/>
  <c r="B132" i="1" s="1"/>
  <c r="J132" i="1"/>
  <c r="G132" i="1"/>
  <c r="AB131" i="1"/>
  <c r="Y131" i="1"/>
  <c r="V131" i="1"/>
  <c r="S131" i="1"/>
  <c r="P131" i="1"/>
  <c r="M131" i="1"/>
  <c r="D131" i="1" s="1"/>
  <c r="J131" i="1"/>
  <c r="G131" i="1"/>
  <c r="C131" i="1"/>
  <c r="B131" i="1"/>
  <c r="AB130" i="1"/>
  <c r="Y130" i="1"/>
  <c r="V130" i="1"/>
  <c r="S130" i="1"/>
  <c r="P130" i="1"/>
  <c r="M130" i="1"/>
  <c r="J130" i="1"/>
  <c r="G130" i="1"/>
  <c r="D130" i="1" s="1"/>
  <c r="C130" i="1"/>
  <c r="B130" i="1"/>
  <c r="AA129" i="1"/>
  <c r="Z129" i="1"/>
  <c r="AB129" i="1" s="1"/>
  <c r="X129" i="1"/>
  <c r="Y129" i="1" s="1"/>
  <c r="W129" i="1"/>
  <c r="U129" i="1"/>
  <c r="V129" i="1" s="1"/>
  <c r="T129" i="1"/>
  <c r="R129" i="1"/>
  <c r="Q129" i="1"/>
  <c r="O129" i="1"/>
  <c r="O72" i="1" s="1"/>
  <c r="O71" i="1" s="1"/>
  <c r="N129" i="1"/>
  <c r="I129" i="1"/>
  <c r="H129" i="1"/>
  <c r="F129" i="1"/>
  <c r="G129" i="1" s="1"/>
  <c r="E129" i="1"/>
  <c r="AB128" i="1"/>
  <c r="Y128" i="1"/>
  <c r="V128" i="1"/>
  <c r="S128" i="1"/>
  <c r="P128" i="1"/>
  <c r="K128" i="1"/>
  <c r="M128" i="1" s="1"/>
  <c r="I128" i="1"/>
  <c r="J128" i="1" s="1"/>
  <c r="F128" i="1"/>
  <c r="E128" i="1"/>
  <c r="G128" i="1" s="1"/>
  <c r="AB127" i="1"/>
  <c r="Y127" i="1"/>
  <c r="V127" i="1"/>
  <c r="S127" i="1"/>
  <c r="P127" i="1"/>
  <c r="M127" i="1"/>
  <c r="J127" i="1"/>
  <c r="G127" i="1"/>
  <c r="C127" i="1"/>
  <c r="B127" i="1"/>
  <c r="AB126" i="1"/>
  <c r="Y126" i="1"/>
  <c r="V126" i="1"/>
  <c r="S126" i="1"/>
  <c r="P126" i="1"/>
  <c r="M126" i="1"/>
  <c r="J126" i="1"/>
  <c r="D126" i="1" s="1"/>
  <c r="I126" i="1"/>
  <c r="G126" i="1"/>
  <c r="C126" i="1"/>
  <c r="B126" i="1"/>
  <c r="AB125" i="1"/>
  <c r="Y125" i="1"/>
  <c r="V125" i="1"/>
  <c r="S125" i="1"/>
  <c r="P125" i="1"/>
  <c r="M125" i="1"/>
  <c r="J125" i="1"/>
  <c r="G125" i="1"/>
  <c r="D125" i="1" s="1"/>
  <c r="C125" i="1"/>
  <c r="B125" i="1"/>
  <c r="AB124" i="1"/>
  <c r="Y124" i="1"/>
  <c r="V124" i="1"/>
  <c r="S124" i="1"/>
  <c r="P124" i="1"/>
  <c r="M124" i="1"/>
  <c r="J124" i="1"/>
  <c r="G124" i="1"/>
  <c r="C124" i="1"/>
  <c r="B124" i="1"/>
  <c r="AB123" i="1"/>
  <c r="Y123" i="1"/>
  <c r="V123" i="1"/>
  <c r="S123" i="1"/>
  <c r="P123" i="1"/>
  <c r="K123" i="1"/>
  <c r="M123" i="1" s="1"/>
  <c r="I123" i="1"/>
  <c r="J123" i="1" s="1"/>
  <c r="G123" i="1"/>
  <c r="AB122" i="1"/>
  <c r="Y122" i="1"/>
  <c r="V122" i="1"/>
  <c r="S122" i="1"/>
  <c r="P122" i="1"/>
  <c r="M122" i="1"/>
  <c r="J122" i="1"/>
  <c r="G122" i="1"/>
  <c r="C122" i="1"/>
  <c r="B122" i="1"/>
  <c r="AB121" i="1"/>
  <c r="Y121" i="1"/>
  <c r="V121" i="1"/>
  <c r="S121" i="1"/>
  <c r="P121" i="1"/>
  <c r="L121" i="1"/>
  <c r="K121" i="1"/>
  <c r="M121" i="1" s="1"/>
  <c r="J121" i="1"/>
  <c r="I121" i="1"/>
  <c r="G121" i="1"/>
  <c r="C121" i="1"/>
  <c r="AB120" i="1"/>
  <c r="Y120" i="1"/>
  <c r="V120" i="1"/>
  <c r="S120" i="1"/>
  <c r="P120" i="1"/>
  <c r="K120" i="1"/>
  <c r="I120" i="1"/>
  <c r="C120" i="1" s="1"/>
  <c r="G120" i="1"/>
  <c r="AB119" i="1"/>
  <c r="Y119" i="1"/>
  <c r="V119" i="1"/>
  <c r="S119" i="1"/>
  <c r="P119" i="1"/>
  <c r="M119" i="1"/>
  <c r="J119" i="1"/>
  <c r="G119" i="1"/>
  <c r="C119" i="1"/>
  <c r="B119" i="1"/>
  <c r="AB118" i="1"/>
  <c r="Y118" i="1"/>
  <c r="V118" i="1"/>
  <c r="S118" i="1"/>
  <c r="P118" i="1"/>
  <c r="K118" i="1"/>
  <c r="I118" i="1"/>
  <c r="C118" i="1" s="1"/>
  <c r="G118" i="1"/>
  <c r="AB117" i="1"/>
  <c r="Y117" i="1"/>
  <c r="V117" i="1"/>
  <c r="S117" i="1"/>
  <c r="P117" i="1"/>
  <c r="M117" i="1"/>
  <c r="J117" i="1"/>
  <c r="G117" i="1"/>
  <c r="C117" i="1"/>
  <c r="B117" i="1"/>
  <c r="AB116" i="1"/>
  <c r="Y116" i="1"/>
  <c r="V116" i="1"/>
  <c r="S116" i="1"/>
  <c r="P116" i="1"/>
  <c r="M116" i="1"/>
  <c r="J116" i="1"/>
  <c r="G116" i="1"/>
  <c r="C116" i="1"/>
  <c r="B116" i="1"/>
  <c r="AB115" i="1"/>
  <c r="Y115" i="1"/>
  <c r="V115" i="1"/>
  <c r="S115" i="1"/>
  <c r="P115" i="1"/>
  <c r="M115" i="1"/>
  <c r="J115" i="1"/>
  <c r="G115" i="1"/>
  <c r="C115" i="1"/>
  <c r="B115" i="1"/>
  <c r="AB114" i="1"/>
  <c r="Y114" i="1"/>
  <c r="V114" i="1"/>
  <c r="S114" i="1"/>
  <c r="P114" i="1"/>
  <c r="M114" i="1"/>
  <c r="J114" i="1"/>
  <c r="G114" i="1"/>
  <c r="D114" i="1"/>
  <c r="C114" i="1"/>
  <c r="B114" i="1"/>
  <c r="AB113" i="1"/>
  <c r="Y113" i="1"/>
  <c r="V113" i="1"/>
  <c r="S113" i="1"/>
  <c r="P113" i="1"/>
  <c r="M113" i="1"/>
  <c r="K113" i="1"/>
  <c r="I113" i="1"/>
  <c r="J113" i="1" s="1"/>
  <c r="G113" i="1"/>
  <c r="B113" i="1"/>
  <c r="AB112" i="1"/>
  <c r="Y112" i="1"/>
  <c r="V112" i="1"/>
  <c r="S112" i="1"/>
  <c r="P112" i="1"/>
  <c r="M112" i="1"/>
  <c r="J112" i="1"/>
  <c r="G112" i="1"/>
  <c r="D112" i="1" s="1"/>
  <c r="C112" i="1"/>
  <c r="B112" i="1"/>
  <c r="AB111" i="1"/>
  <c r="Y111" i="1"/>
  <c r="V111" i="1"/>
  <c r="S111" i="1"/>
  <c r="P111" i="1"/>
  <c r="K111" i="1"/>
  <c r="M111" i="1" s="1"/>
  <c r="I111" i="1"/>
  <c r="J111" i="1" s="1"/>
  <c r="G111" i="1"/>
  <c r="AB110" i="1"/>
  <c r="Y110" i="1"/>
  <c r="V110" i="1"/>
  <c r="S110" i="1"/>
  <c r="P110" i="1"/>
  <c r="M110" i="1"/>
  <c r="J110" i="1"/>
  <c r="D110" i="1" s="1"/>
  <c r="G110" i="1"/>
  <c r="C110" i="1"/>
  <c r="B110" i="1"/>
  <c r="AB109" i="1"/>
  <c r="Y109" i="1"/>
  <c r="V109" i="1"/>
  <c r="S109" i="1"/>
  <c r="P109" i="1"/>
  <c r="K109" i="1"/>
  <c r="M109" i="1" s="1"/>
  <c r="I109" i="1"/>
  <c r="J109" i="1" s="1"/>
  <c r="F109" i="1"/>
  <c r="G109" i="1" s="1"/>
  <c r="E109" i="1"/>
  <c r="B109" i="1" s="1"/>
  <c r="C109" i="1"/>
  <c r="AB108" i="1"/>
  <c r="Y108" i="1"/>
  <c r="V108" i="1"/>
  <c r="S108" i="1"/>
  <c r="P108" i="1"/>
  <c r="M108" i="1"/>
  <c r="J108" i="1"/>
  <c r="G108" i="1"/>
  <c r="C108" i="1"/>
  <c r="B108" i="1"/>
  <c r="AB107" i="1"/>
  <c r="Y107" i="1"/>
  <c r="V107" i="1"/>
  <c r="S107" i="1"/>
  <c r="P107" i="1"/>
  <c r="M107" i="1"/>
  <c r="J107" i="1"/>
  <c r="G107" i="1"/>
  <c r="C107" i="1"/>
  <c r="B107" i="1"/>
  <c r="AB106" i="1"/>
  <c r="Y106" i="1"/>
  <c r="V106" i="1"/>
  <c r="S106" i="1"/>
  <c r="P106" i="1"/>
  <c r="K106" i="1"/>
  <c r="I106" i="1"/>
  <c r="G106" i="1"/>
  <c r="AB105" i="1"/>
  <c r="Y105" i="1"/>
  <c r="V105" i="1"/>
  <c r="S105" i="1"/>
  <c r="P105" i="1"/>
  <c r="M105" i="1"/>
  <c r="J105" i="1"/>
  <c r="G105" i="1"/>
  <c r="C105" i="1"/>
  <c r="B105" i="1"/>
  <c r="AB104" i="1"/>
  <c r="Y104" i="1"/>
  <c r="V104" i="1"/>
  <c r="S104" i="1"/>
  <c r="P104" i="1"/>
  <c r="K104" i="1"/>
  <c r="I104" i="1"/>
  <c r="G104" i="1"/>
  <c r="AB103" i="1"/>
  <c r="Y103" i="1"/>
  <c r="V103" i="1"/>
  <c r="S103" i="1"/>
  <c r="P103" i="1"/>
  <c r="K103" i="1"/>
  <c r="B103" i="1" s="1"/>
  <c r="I103" i="1"/>
  <c r="C103" i="1" s="1"/>
  <c r="G103" i="1"/>
  <c r="AB102" i="1"/>
  <c r="Y102" i="1"/>
  <c r="V102" i="1"/>
  <c r="S102" i="1"/>
  <c r="P102" i="1"/>
  <c r="K102" i="1"/>
  <c r="J102" i="1"/>
  <c r="I102" i="1"/>
  <c r="G102" i="1"/>
  <c r="C102" i="1"/>
  <c r="AB101" i="1"/>
  <c r="Y101" i="1"/>
  <c r="V101" i="1"/>
  <c r="S101" i="1"/>
  <c r="P101" i="1"/>
  <c r="M101" i="1"/>
  <c r="J101" i="1"/>
  <c r="G101" i="1"/>
  <c r="C101" i="1"/>
  <c r="B101" i="1"/>
  <c r="AB100" i="1"/>
  <c r="Y100" i="1"/>
  <c r="V100" i="1"/>
  <c r="S100" i="1"/>
  <c r="P100" i="1"/>
  <c r="M100" i="1"/>
  <c r="J100" i="1"/>
  <c r="G100" i="1"/>
  <c r="C100" i="1"/>
  <c r="B100" i="1"/>
  <c r="AB99" i="1"/>
  <c r="Y99" i="1"/>
  <c r="V99" i="1"/>
  <c r="S99" i="1"/>
  <c r="P99" i="1"/>
  <c r="M99" i="1"/>
  <c r="J99" i="1"/>
  <c r="G99" i="1"/>
  <c r="C99" i="1"/>
  <c r="B99" i="1"/>
  <c r="AB98" i="1"/>
  <c r="Y98" i="1"/>
  <c r="V98" i="1"/>
  <c r="S98" i="1"/>
  <c r="P98" i="1"/>
  <c r="M98" i="1"/>
  <c r="J98" i="1"/>
  <c r="G98" i="1"/>
  <c r="C98" i="1"/>
  <c r="B98" i="1"/>
  <c r="AB97" i="1"/>
  <c r="Y97" i="1"/>
  <c r="V97" i="1"/>
  <c r="S97" i="1"/>
  <c r="P97" i="1"/>
  <c r="M97" i="1"/>
  <c r="J97" i="1"/>
  <c r="G97" i="1"/>
  <c r="C97" i="1"/>
  <c r="B97" i="1"/>
  <c r="AB96" i="1"/>
  <c r="Y96" i="1"/>
  <c r="V96" i="1"/>
  <c r="S96" i="1"/>
  <c r="P96" i="1"/>
  <c r="K96" i="1"/>
  <c r="I96" i="1"/>
  <c r="J96" i="1" s="1"/>
  <c r="G96" i="1"/>
  <c r="C96" i="1"/>
  <c r="AB95" i="1"/>
  <c r="Y95" i="1"/>
  <c r="V95" i="1"/>
  <c r="S95" i="1"/>
  <c r="P95" i="1"/>
  <c r="K95" i="1"/>
  <c r="M95" i="1" s="1"/>
  <c r="I95" i="1"/>
  <c r="G95" i="1"/>
  <c r="AB94" i="1"/>
  <c r="Y94" i="1"/>
  <c r="V94" i="1"/>
  <c r="S94" i="1"/>
  <c r="P94" i="1"/>
  <c r="M94" i="1"/>
  <c r="D94" i="1" s="1"/>
  <c r="J94" i="1"/>
  <c r="G94" i="1"/>
  <c r="C94" i="1"/>
  <c r="B94" i="1"/>
  <c r="AB93" i="1"/>
  <c r="Y93" i="1"/>
  <c r="V93" i="1"/>
  <c r="S93" i="1"/>
  <c r="P93" i="1"/>
  <c r="M93" i="1"/>
  <c r="J93" i="1"/>
  <c r="G93" i="1"/>
  <c r="C93" i="1"/>
  <c r="B93" i="1"/>
  <c r="AA92" i="1"/>
  <c r="AA72" i="1" s="1"/>
  <c r="Z92" i="1"/>
  <c r="X92" i="1"/>
  <c r="W92" i="1"/>
  <c r="Y92" i="1" s="1"/>
  <c r="V92" i="1"/>
  <c r="U92" i="1"/>
  <c r="T92" i="1"/>
  <c r="R92" i="1"/>
  <c r="Q92" i="1"/>
  <c r="Q72" i="1" s="1"/>
  <c r="Q71" i="1" s="1"/>
  <c r="O92" i="1"/>
  <c r="P92" i="1" s="1"/>
  <c r="N92" i="1"/>
  <c r="N72" i="1" s="1"/>
  <c r="L92" i="1"/>
  <c r="H92" i="1"/>
  <c r="F92" i="1"/>
  <c r="E92" i="1"/>
  <c r="AB91" i="1"/>
  <c r="AA91" i="1"/>
  <c r="Y91" i="1"/>
  <c r="V91" i="1"/>
  <c r="S91" i="1"/>
  <c r="P91" i="1"/>
  <c r="M91" i="1"/>
  <c r="I91" i="1"/>
  <c r="J91" i="1" s="1"/>
  <c r="H91" i="1"/>
  <c r="F91" i="1"/>
  <c r="B91" i="1"/>
  <c r="AB90" i="1"/>
  <c r="Y90" i="1"/>
  <c r="V90" i="1"/>
  <c r="S90" i="1"/>
  <c r="P90" i="1"/>
  <c r="D90" i="1" s="1"/>
  <c r="M90" i="1"/>
  <c r="J90" i="1"/>
  <c r="G90" i="1"/>
  <c r="C90" i="1"/>
  <c r="B90" i="1"/>
  <c r="AB89" i="1"/>
  <c r="Y89" i="1"/>
  <c r="V89" i="1"/>
  <c r="S89" i="1"/>
  <c r="P89" i="1"/>
  <c r="M89" i="1"/>
  <c r="D89" i="1" s="1"/>
  <c r="J89" i="1"/>
  <c r="G89" i="1"/>
  <c r="C89" i="1"/>
  <c r="B89" i="1"/>
  <c r="AB88" i="1"/>
  <c r="Y88" i="1"/>
  <c r="V88" i="1"/>
  <c r="S88" i="1"/>
  <c r="P88" i="1"/>
  <c r="M88" i="1"/>
  <c r="J88" i="1"/>
  <c r="G88" i="1"/>
  <c r="D88" i="1" s="1"/>
  <c r="C88" i="1"/>
  <c r="B88" i="1"/>
  <c r="AB87" i="1"/>
  <c r="Y87" i="1"/>
  <c r="V87" i="1"/>
  <c r="S87" i="1"/>
  <c r="P87" i="1"/>
  <c r="L87" i="1"/>
  <c r="M87" i="1" s="1"/>
  <c r="D87" i="1" s="1"/>
  <c r="K87" i="1"/>
  <c r="B87" i="1" s="1"/>
  <c r="J87" i="1"/>
  <c r="G87" i="1"/>
  <c r="C87" i="1"/>
  <c r="AB86" i="1"/>
  <c r="Y86" i="1"/>
  <c r="V86" i="1"/>
  <c r="S86" i="1"/>
  <c r="P86" i="1"/>
  <c r="M86" i="1"/>
  <c r="J86" i="1"/>
  <c r="G86" i="1"/>
  <c r="D86" i="1" s="1"/>
  <c r="C86" i="1"/>
  <c r="B86" i="1"/>
  <c r="AB85" i="1"/>
  <c r="Y85" i="1"/>
  <c r="V85" i="1"/>
  <c r="S85" i="1"/>
  <c r="P85" i="1"/>
  <c r="M85" i="1"/>
  <c r="J85" i="1"/>
  <c r="G85" i="1"/>
  <c r="C85" i="1"/>
  <c r="B85" i="1"/>
  <c r="AB84" i="1"/>
  <c r="Y84" i="1"/>
  <c r="V84" i="1"/>
  <c r="S84" i="1"/>
  <c r="P84" i="1"/>
  <c r="M84" i="1"/>
  <c r="J84" i="1"/>
  <c r="G84" i="1"/>
  <c r="D84" i="1" s="1"/>
  <c r="C84" i="1"/>
  <c r="B84" i="1"/>
  <c r="AB83" i="1"/>
  <c r="Y83" i="1"/>
  <c r="V83" i="1"/>
  <c r="S83" i="1"/>
  <c r="P83" i="1"/>
  <c r="M83" i="1"/>
  <c r="J83" i="1"/>
  <c r="G83" i="1"/>
  <c r="C83" i="1"/>
  <c r="B83" i="1"/>
  <c r="AB82" i="1"/>
  <c r="Y82" i="1"/>
  <c r="V82" i="1"/>
  <c r="S82" i="1"/>
  <c r="P82" i="1"/>
  <c r="L82" i="1"/>
  <c r="K82" i="1"/>
  <c r="B82" i="1" s="1"/>
  <c r="I82" i="1"/>
  <c r="H82" i="1"/>
  <c r="F82" i="1"/>
  <c r="AB81" i="1"/>
  <c r="Y81" i="1"/>
  <c r="V81" i="1"/>
  <c r="S81" i="1"/>
  <c r="P81" i="1"/>
  <c r="M81" i="1"/>
  <c r="J81" i="1"/>
  <c r="G81" i="1"/>
  <c r="C81" i="1"/>
  <c r="B81" i="1"/>
  <c r="AB80" i="1"/>
  <c r="Y80" i="1"/>
  <c r="V80" i="1"/>
  <c r="S80" i="1"/>
  <c r="P80" i="1"/>
  <c r="M80" i="1"/>
  <c r="J80" i="1"/>
  <c r="G80" i="1"/>
  <c r="C80" i="1"/>
  <c r="B80" i="1"/>
  <c r="AB79" i="1"/>
  <c r="Y79" i="1"/>
  <c r="V79" i="1"/>
  <c r="S79" i="1"/>
  <c r="P79" i="1"/>
  <c r="M79" i="1"/>
  <c r="I79" i="1"/>
  <c r="C79" i="1" s="1"/>
  <c r="H79" i="1"/>
  <c r="B79" i="1" s="1"/>
  <c r="G79" i="1"/>
  <c r="AB78" i="1"/>
  <c r="Y78" i="1"/>
  <c r="V78" i="1"/>
  <c r="S78" i="1"/>
  <c r="P78" i="1"/>
  <c r="L78" i="1"/>
  <c r="M78" i="1" s="1"/>
  <c r="K78" i="1"/>
  <c r="I78" i="1"/>
  <c r="H78" i="1"/>
  <c r="G78" i="1"/>
  <c r="AB77" i="1"/>
  <c r="Y77" i="1"/>
  <c r="V77" i="1"/>
  <c r="S77" i="1"/>
  <c r="P77" i="1"/>
  <c r="M77" i="1"/>
  <c r="J77" i="1"/>
  <c r="G77" i="1"/>
  <c r="C77" i="1"/>
  <c r="B77" i="1"/>
  <c r="AB76" i="1"/>
  <c r="Y76" i="1"/>
  <c r="V76" i="1"/>
  <c r="S76" i="1"/>
  <c r="P76" i="1"/>
  <c r="M76" i="1"/>
  <c r="J76" i="1"/>
  <c r="G76" i="1"/>
  <c r="C76" i="1"/>
  <c r="B76" i="1"/>
  <c r="AB75" i="1"/>
  <c r="Y75" i="1"/>
  <c r="V75" i="1"/>
  <c r="S75" i="1"/>
  <c r="P75" i="1"/>
  <c r="M75" i="1"/>
  <c r="J75" i="1"/>
  <c r="G75" i="1"/>
  <c r="C75" i="1"/>
  <c r="B75" i="1"/>
  <c r="AB74" i="1"/>
  <c r="Y74" i="1"/>
  <c r="V74" i="1"/>
  <c r="S74" i="1"/>
  <c r="P74" i="1"/>
  <c r="M74" i="1"/>
  <c r="J74" i="1"/>
  <c r="G74" i="1"/>
  <c r="D74" i="1"/>
  <c r="C74" i="1"/>
  <c r="B74" i="1"/>
  <c r="AB73" i="1"/>
  <c r="Y73" i="1"/>
  <c r="V73" i="1"/>
  <c r="S73" i="1"/>
  <c r="P73" i="1"/>
  <c r="M73" i="1"/>
  <c r="J73" i="1"/>
  <c r="G73" i="1"/>
  <c r="C73" i="1"/>
  <c r="B73" i="1"/>
  <c r="X72" i="1"/>
  <c r="W72" i="1"/>
  <c r="W71" i="1" s="1"/>
  <c r="T72" i="1"/>
  <c r="T71" i="1" s="1"/>
  <c r="R72" i="1"/>
  <c r="E72" i="1"/>
  <c r="E71" i="1" s="1"/>
  <c r="AA71" i="1"/>
  <c r="R71" i="1"/>
  <c r="AB70" i="1"/>
  <c r="Y70" i="1"/>
  <c r="V70" i="1"/>
  <c r="S70" i="1"/>
  <c r="P70" i="1"/>
  <c r="M70" i="1"/>
  <c r="J70" i="1"/>
  <c r="G70" i="1"/>
  <c r="C70" i="1"/>
  <c r="B70" i="1"/>
  <c r="AB69" i="1"/>
  <c r="Y69" i="1"/>
  <c r="V69" i="1"/>
  <c r="S69" i="1"/>
  <c r="P69" i="1"/>
  <c r="O69" i="1"/>
  <c r="O64" i="1" s="1"/>
  <c r="O63" i="1" s="1"/>
  <c r="N69" i="1"/>
  <c r="M69" i="1"/>
  <c r="J69" i="1"/>
  <c r="G69" i="1"/>
  <c r="B69" i="1"/>
  <c r="AB68" i="1"/>
  <c r="Y68" i="1"/>
  <c r="V68" i="1"/>
  <c r="S68" i="1"/>
  <c r="P68" i="1"/>
  <c r="M68" i="1"/>
  <c r="D68" i="1" s="1"/>
  <c r="J68" i="1"/>
  <c r="G68" i="1"/>
  <c r="C68" i="1"/>
  <c r="B68" i="1"/>
  <c r="AB67" i="1"/>
  <c r="Y67" i="1"/>
  <c r="V67" i="1"/>
  <c r="S67" i="1"/>
  <c r="P67" i="1"/>
  <c r="M67" i="1"/>
  <c r="J67" i="1"/>
  <c r="G67" i="1"/>
  <c r="C67" i="1"/>
  <c r="B67" i="1"/>
  <c r="AB66" i="1"/>
  <c r="Y66" i="1"/>
  <c r="V66" i="1"/>
  <c r="R66" i="1"/>
  <c r="Q66" i="1"/>
  <c r="B66" i="1" s="1"/>
  <c r="P66" i="1"/>
  <c r="M66" i="1"/>
  <c r="J66" i="1"/>
  <c r="G66" i="1"/>
  <c r="AB65" i="1"/>
  <c r="Y65" i="1"/>
  <c r="V65" i="1"/>
  <c r="R65" i="1"/>
  <c r="Q65" i="1"/>
  <c r="S65" i="1" s="1"/>
  <c r="P65" i="1"/>
  <c r="M65" i="1"/>
  <c r="J65" i="1"/>
  <c r="G65" i="1"/>
  <c r="C65" i="1"/>
  <c r="AA64" i="1"/>
  <c r="Z64" i="1"/>
  <c r="Z63" i="1" s="1"/>
  <c r="Y64" i="1"/>
  <c r="X64" i="1"/>
  <c r="W64" i="1"/>
  <c r="U64" i="1"/>
  <c r="T64" i="1"/>
  <c r="T63" i="1" s="1"/>
  <c r="N64" i="1"/>
  <c r="N63" i="1" s="1"/>
  <c r="L64" i="1"/>
  <c r="K64" i="1"/>
  <c r="I64" i="1"/>
  <c r="H64" i="1"/>
  <c r="J64" i="1" s="1"/>
  <c r="F64" i="1"/>
  <c r="E64" i="1"/>
  <c r="AA63" i="1"/>
  <c r="AB63" i="1" s="1"/>
  <c r="X63" i="1"/>
  <c r="Y63" i="1" s="1"/>
  <c r="W63" i="1"/>
  <c r="K63" i="1"/>
  <c r="I63" i="1"/>
  <c r="E63" i="1"/>
  <c r="AB62" i="1"/>
  <c r="Y62" i="1"/>
  <c r="V62" i="1"/>
  <c r="S62" i="1"/>
  <c r="P62" i="1"/>
  <c r="M62" i="1"/>
  <c r="J62" i="1"/>
  <c r="G62" i="1"/>
  <c r="D62" i="1"/>
  <c r="C62" i="1"/>
  <c r="B62" i="1"/>
  <c r="AB61" i="1"/>
  <c r="Y61" i="1"/>
  <c r="V61" i="1"/>
  <c r="S61" i="1"/>
  <c r="P61" i="1"/>
  <c r="M61" i="1"/>
  <c r="J61" i="1"/>
  <c r="G61" i="1"/>
  <c r="C61" i="1"/>
  <c r="B61" i="1"/>
  <c r="AB60" i="1"/>
  <c r="Y60" i="1"/>
  <c r="V60" i="1"/>
  <c r="S60" i="1"/>
  <c r="P60" i="1"/>
  <c r="M60" i="1"/>
  <c r="J60" i="1"/>
  <c r="G60" i="1"/>
  <c r="D60" i="1" s="1"/>
  <c r="C60" i="1"/>
  <c r="B60" i="1"/>
  <c r="AB59" i="1"/>
  <c r="Y59" i="1"/>
  <c r="V59" i="1"/>
  <c r="S59" i="1"/>
  <c r="P59" i="1"/>
  <c r="M59" i="1"/>
  <c r="D59" i="1" s="1"/>
  <c r="J59" i="1"/>
  <c r="G59" i="1"/>
  <c r="C59" i="1"/>
  <c r="B59" i="1"/>
  <c r="AA58" i="1"/>
  <c r="Z58" i="1"/>
  <c r="Z57" i="1" s="1"/>
  <c r="X58" i="1"/>
  <c r="W58" i="1"/>
  <c r="W57" i="1" s="1"/>
  <c r="U58" i="1"/>
  <c r="V58" i="1" s="1"/>
  <c r="T58" i="1"/>
  <c r="T57" i="1" s="1"/>
  <c r="R58" i="1"/>
  <c r="R57" i="1" s="1"/>
  <c r="Q58" i="1"/>
  <c r="O58" i="1"/>
  <c r="O57" i="1" s="1"/>
  <c r="N58" i="1"/>
  <c r="B58" i="1" s="1"/>
  <c r="L58" i="1"/>
  <c r="K58" i="1"/>
  <c r="I58" i="1"/>
  <c r="J58" i="1" s="1"/>
  <c r="H58" i="1"/>
  <c r="H57" i="1" s="1"/>
  <c r="F58" i="1"/>
  <c r="E58" i="1"/>
  <c r="E57" i="1" s="1"/>
  <c r="AA57" i="1"/>
  <c r="AB57" i="1" s="1"/>
  <c r="U57" i="1"/>
  <c r="V57" i="1" s="1"/>
  <c r="Q57" i="1"/>
  <c r="K57" i="1"/>
  <c r="F57" i="1"/>
  <c r="AB56" i="1"/>
  <c r="Y56" i="1"/>
  <c r="V56" i="1"/>
  <c r="S56" i="1"/>
  <c r="P56" i="1"/>
  <c r="M56" i="1"/>
  <c r="D56" i="1" s="1"/>
  <c r="J56" i="1"/>
  <c r="G56" i="1"/>
  <c r="C56" i="1"/>
  <c r="B56" i="1"/>
  <c r="AB55" i="1"/>
  <c r="Y55" i="1"/>
  <c r="V55" i="1"/>
  <c r="S55" i="1"/>
  <c r="P55" i="1"/>
  <c r="M55" i="1"/>
  <c r="J55" i="1"/>
  <c r="G55" i="1"/>
  <c r="C55" i="1"/>
  <c r="B55" i="1"/>
  <c r="AB54" i="1"/>
  <c r="Y54" i="1"/>
  <c r="V54" i="1"/>
  <c r="S54" i="1"/>
  <c r="P54" i="1"/>
  <c r="L54" i="1"/>
  <c r="C54" i="1" s="1"/>
  <c r="K54" i="1"/>
  <c r="J54" i="1"/>
  <c r="G54" i="1"/>
  <c r="B54" i="1"/>
  <c r="AB53" i="1"/>
  <c r="Y53" i="1"/>
  <c r="V53" i="1"/>
  <c r="S53" i="1"/>
  <c r="P53" i="1"/>
  <c r="M53" i="1"/>
  <c r="J53" i="1"/>
  <c r="G53" i="1"/>
  <c r="C53" i="1"/>
  <c r="B53" i="1"/>
  <c r="AA52" i="1"/>
  <c r="AA51" i="1" s="1"/>
  <c r="AA50" i="1" s="1"/>
  <c r="Z52" i="1"/>
  <c r="Y52" i="1"/>
  <c r="V52" i="1"/>
  <c r="S52" i="1"/>
  <c r="P52" i="1"/>
  <c r="L52" i="1"/>
  <c r="K52" i="1"/>
  <c r="K51" i="1" s="1"/>
  <c r="K50" i="1" s="1"/>
  <c r="J52" i="1"/>
  <c r="I52" i="1"/>
  <c r="F52" i="1"/>
  <c r="E52" i="1"/>
  <c r="B52" i="1" s="1"/>
  <c r="X51" i="1"/>
  <c r="X50" i="1" s="1"/>
  <c r="W51" i="1"/>
  <c r="W50" i="1" s="1"/>
  <c r="U51" i="1"/>
  <c r="T51" i="1"/>
  <c r="T50" i="1" s="1"/>
  <c r="R51" i="1"/>
  <c r="Q51" i="1"/>
  <c r="P51" i="1"/>
  <c r="O51" i="1"/>
  <c r="N51" i="1"/>
  <c r="N50" i="1" s="1"/>
  <c r="I51" i="1"/>
  <c r="J51" i="1" s="1"/>
  <c r="H51" i="1"/>
  <c r="Q50" i="1"/>
  <c r="P50" i="1"/>
  <c r="O50" i="1"/>
  <c r="H50" i="1"/>
  <c r="AB49" i="1"/>
  <c r="Y49" i="1"/>
  <c r="V49" i="1"/>
  <c r="S49" i="1"/>
  <c r="P49" i="1"/>
  <c r="M49" i="1"/>
  <c r="D49" i="1" s="1"/>
  <c r="J49" i="1"/>
  <c r="G49" i="1"/>
  <c r="C49" i="1"/>
  <c r="B49" i="1"/>
  <c r="AB48" i="1"/>
  <c r="Y48" i="1"/>
  <c r="V48" i="1"/>
  <c r="S48" i="1"/>
  <c r="P48" i="1"/>
  <c r="M48" i="1"/>
  <c r="J48" i="1"/>
  <c r="G48" i="1"/>
  <c r="C48" i="1"/>
  <c r="B48" i="1"/>
  <c r="AB47" i="1"/>
  <c r="Y47" i="1"/>
  <c r="V47" i="1"/>
  <c r="S47" i="1"/>
  <c r="P47" i="1"/>
  <c r="M47" i="1"/>
  <c r="J47" i="1"/>
  <c r="G47" i="1"/>
  <c r="C47" i="1"/>
  <c r="B47" i="1"/>
  <c r="AB46" i="1"/>
  <c r="Y46" i="1"/>
  <c r="V46" i="1"/>
  <c r="S46" i="1"/>
  <c r="P46" i="1"/>
  <c r="M46" i="1"/>
  <c r="J46" i="1"/>
  <c r="F46" i="1"/>
  <c r="C46" i="1" s="1"/>
  <c r="E46" i="1"/>
  <c r="B46" i="1" s="1"/>
  <c r="AB45" i="1"/>
  <c r="Y45" i="1"/>
  <c r="V45" i="1"/>
  <c r="S45" i="1"/>
  <c r="P45" i="1"/>
  <c r="M45" i="1"/>
  <c r="J45" i="1"/>
  <c r="G45" i="1"/>
  <c r="C45" i="1"/>
  <c r="B45" i="1"/>
  <c r="AB44" i="1"/>
  <c r="Y44" i="1"/>
  <c r="V44" i="1"/>
  <c r="S44" i="1"/>
  <c r="P44" i="1"/>
  <c r="M44" i="1"/>
  <c r="J44" i="1"/>
  <c r="G44" i="1"/>
  <c r="C44" i="1"/>
  <c r="B44" i="1"/>
  <c r="AB43" i="1"/>
  <c r="Y43" i="1"/>
  <c r="V43" i="1"/>
  <c r="S43" i="1"/>
  <c r="P43" i="1"/>
  <c r="M43" i="1"/>
  <c r="J43" i="1"/>
  <c r="G43" i="1"/>
  <c r="C43" i="1"/>
  <c r="B43" i="1"/>
  <c r="AB42" i="1"/>
  <c r="Y42" i="1"/>
  <c r="V42" i="1"/>
  <c r="S42" i="1"/>
  <c r="P42" i="1"/>
  <c r="M42" i="1"/>
  <c r="J42" i="1"/>
  <c r="G42" i="1"/>
  <c r="C42" i="1"/>
  <c r="B42" i="1"/>
  <c r="AB41" i="1"/>
  <c r="Y41" i="1"/>
  <c r="V41" i="1"/>
  <c r="S41" i="1"/>
  <c r="P41" i="1"/>
  <c r="M41" i="1"/>
  <c r="J41" i="1"/>
  <c r="G41" i="1"/>
  <c r="C41" i="1"/>
  <c r="B41" i="1"/>
  <c r="AB40" i="1"/>
  <c r="Y40" i="1"/>
  <c r="V40" i="1"/>
  <c r="S40" i="1"/>
  <c r="P40" i="1"/>
  <c r="M40" i="1"/>
  <c r="J40" i="1"/>
  <c r="G40" i="1"/>
  <c r="C40" i="1"/>
  <c r="B40" i="1"/>
  <c r="AB39" i="1"/>
  <c r="Y39" i="1"/>
  <c r="V39" i="1"/>
  <c r="S39" i="1"/>
  <c r="P39" i="1"/>
  <c r="M39" i="1"/>
  <c r="J39" i="1"/>
  <c r="G39" i="1"/>
  <c r="D39" i="1"/>
  <c r="C39" i="1"/>
  <c r="B39" i="1"/>
  <c r="AB38" i="1"/>
  <c r="Y38" i="1"/>
  <c r="V38" i="1"/>
  <c r="S38" i="1"/>
  <c r="P38" i="1"/>
  <c r="M38" i="1"/>
  <c r="J38" i="1"/>
  <c r="G38" i="1"/>
  <c r="C38" i="1"/>
  <c r="B38" i="1"/>
  <c r="AB37" i="1"/>
  <c r="X37" i="1"/>
  <c r="W37" i="1"/>
  <c r="V37" i="1"/>
  <c r="S37" i="1"/>
  <c r="P37" i="1"/>
  <c r="M37" i="1"/>
  <c r="J37" i="1"/>
  <c r="G37" i="1"/>
  <c r="C37" i="1"/>
  <c r="B37" i="1"/>
  <c r="AB36" i="1"/>
  <c r="Y36" i="1"/>
  <c r="V36" i="1"/>
  <c r="S36" i="1"/>
  <c r="P36" i="1"/>
  <c r="M36" i="1"/>
  <c r="J36" i="1"/>
  <c r="G36" i="1"/>
  <c r="C36" i="1"/>
  <c r="B36" i="1"/>
  <c r="AB35" i="1"/>
  <c r="Y35" i="1"/>
  <c r="V35" i="1"/>
  <c r="S35" i="1"/>
  <c r="P35" i="1"/>
  <c r="M35" i="1"/>
  <c r="J35" i="1"/>
  <c r="G35" i="1"/>
  <c r="C35" i="1"/>
  <c r="B35" i="1"/>
  <c r="AB34" i="1"/>
  <c r="Y34" i="1"/>
  <c r="V34" i="1"/>
  <c r="S34" i="1"/>
  <c r="P34" i="1"/>
  <c r="M34" i="1"/>
  <c r="J34" i="1"/>
  <c r="F34" i="1"/>
  <c r="C34" i="1" s="1"/>
  <c r="B34" i="1"/>
  <c r="AB33" i="1"/>
  <c r="Y33" i="1"/>
  <c r="V33" i="1"/>
  <c r="S33" i="1"/>
  <c r="P33" i="1"/>
  <c r="M33" i="1"/>
  <c r="J33" i="1"/>
  <c r="F33" i="1"/>
  <c r="E33" i="1"/>
  <c r="B33" i="1" s="1"/>
  <c r="AB32" i="1"/>
  <c r="Y32" i="1"/>
  <c r="V32" i="1"/>
  <c r="S32" i="1"/>
  <c r="P32" i="1"/>
  <c r="M32" i="1"/>
  <c r="J32" i="1"/>
  <c r="F32" i="1"/>
  <c r="G32" i="1" s="1"/>
  <c r="B32" i="1"/>
  <c r="AB31" i="1"/>
  <c r="Y31" i="1"/>
  <c r="V31" i="1"/>
  <c r="S31" i="1"/>
  <c r="P31" i="1"/>
  <c r="M31" i="1"/>
  <c r="J31" i="1"/>
  <c r="F31" i="1"/>
  <c r="C31" i="1" s="1"/>
  <c r="E31" i="1"/>
  <c r="AA30" i="1"/>
  <c r="AA29" i="1" s="1"/>
  <c r="Z30" i="1"/>
  <c r="Z29" i="1" s="1"/>
  <c r="X30" i="1"/>
  <c r="Y30" i="1" s="1"/>
  <c r="W30" i="1"/>
  <c r="W29" i="1" s="1"/>
  <c r="U30" i="1"/>
  <c r="T30" i="1"/>
  <c r="V30" i="1" s="1"/>
  <c r="S30" i="1"/>
  <c r="R30" i="1"/>
  <c r="Q30" i="1"/>
  <c r="O30" i="1"/>
  <c r="O29" i="1" s="1"/>
  <c r="N30" i="1"/>
  <c r="N29" i="1" s="1"/>
  <c r="L30" i="1"/>
  <c r="M30" i="1" s="1"/>
  <c r="K30" i="1"/>
  <c r="K29" i="1" s="1"/>
  <c r="I30" i="1"/>
  <c r="I29" i="1" s="1"/>
  <c r="H30" i="1"/>
  <c r="U29" i="1"/>
  <c r="R29" i="1"/>
  <c r="S29" i="1" s="1"/>
  <c r="Q29" i="1"/>
  <c r="AB28" i="1"/>
  <c r="Y28" i="1"/>
  <c r="V28" i="1"/>
  <c r="S28" i="1"/>
  <c r="P28" i="1"/>
  <c r="M28" i="1"/>
  <c r="J28" i="1"/>
  <c r="G28" i="1"/>
  <c r="C28" i="1"/>
  <c r="B28" i="1"/>
  <c r="AB27" i="1"/>
  <c r="Y27" i="1"/>
  <c r="V27" i="1"/>
  <c r="S27" i="1"/>
  <c r="P27" i="1"/>
  <c r="M27" i="1"/>
  <c r="J27" i="1"/>
  <c r="G27" i="1"/>
  <c r="C27" i="1"/>
  <c r="B27" i="1"/>
  <c r="AB26" i="1"/>
  <c r="Y26" i="1"/>
  <c r="V26" i="1"/>
  <c r="S26" i="1"/>
  <c r="P26" i="1"/>
  <c r="M26" i="1"/>
  <c r="J26" i="1"/>
  <c r="G26" i="1"/>
  <c r="C26" i="1"/>
  <c r="B26" i="1"/>
  <c r="AB25" i="1"/>
  <c r="Y25" i="1"/>
  <c r="V25" i="1"/>
  <c r="S25" i="1"/>
  <c r="P25" i="1"/>
  <c r="M25" i="1"/>
  <c r="J25" i="1"/>
  <c r="G25" i="1"/>
  <c r="C25" i="1"/>
  <c r="B25" i="1"/>
  <c r="AB24" i="1"/>
  <c r="Y24" i="1"/>
  <c r="V24" i="1"/>
  <c r="S24" i="1"/>
  <c r="P24" i="1"/>
  <c r="M24" i="1"/>
  <c r="J24" i="1"/>
  <c r="G24" i="1"/>
  <c r="C24" i="1"/>
  <c r="B24" i="1"/>
  <c r="AB23" i="1"/>
  <c r="Y23" i="1"/>
  <c r="V23" i="1"/>
  <c r="S23" i="1"/>
  <c r="P23" i="1"/>
  <c r="M23" i="1"/>
  <c r="J23" i="1"/>
  <c r="G23" i="1"/>
  <c r="D23" i="1" s="1"/>
  <c r="C23" i="1"/>
  <c r="B23" i="1"/>
  <c r="AB22" i="1"/>
  <c r="Y22" i="1"/>
  <c r="V22" i="1"/>
  <c r="S22" i="1"/>
  <c r="P22" i="1"/>
  <c r="M22" i="1"/>
  <c r="J22" i="1"/>
  <c r="G22" i="1"/>
  <c r="C22" i="1"/>
  <c r="B22" i="1"/>
  <c r="AB21" i="1"/>
  <c r="Y21" i="1"/>
  <c r="V21" i="1"/>
  <c r="S21" i="1"/>
  <c r="P21" i="1"/>
  <c r="M21" i="1"/>
  <c r="J21" i="1"/>
  <c r="G21" i="1"/>
  <c r="C21" i="1"/>
  <c r="B21" i="1"/>
  <c r="AB20" i="1"/>
  <c r="Y20" i="1"/>
  <c r="V20" i="1"/>
  <c r="S20" i="1"/>
  <c r="P20" i="1"/>
  <c r="M20" i="1"/>
  <c r="J20" i="1"/>
  <c r="G20" i="1"/>
  <c r="D20" i="1" s="1"/>
  <c r="C20" i="1"/>
  <c r="B20" i="1"/>
  <c r="AB19" i="1"/>
  <c r="Y19" i="1"/>
  <c r="V19" i="1"/>
  <c r="S19" i="1"/>
  <c r="P19" i="1"/>
  <c r="M19" i="1"/>
  <c r="J19" i="1"/>
  <c r="G19" i="1"/>
  <c r="D19" i="1" s="1"/>
  <c r="C19" i="1"/>
  <c r="B19" i="1"/>
  <c r="AB18" i="1"/>
  <c r="Y18" i="1"/>
  <c r="V18" i="1"/>
  <c r="S18" i="1"/>
  <c r="P18" i="1"/>
  <c r="M18" i="1"/>
  <c r="J18" i="1"/>
  <c r="G18" i="1"/>
  <c r="C18" i="1"/>
  <c r="B18" i="1"/>
  <c r="AB17" i="1"/>
  <c r="Y17" i="1"/>
  <c r="V17" i="1"/>
  <c r="S17" i="1"/>
  <c r="P17" i="1"/>
  <c r="M17" i="1"/>
  <c r="J17" i="1"/>
  <c r="G17" i="1"/>
  <c r="C17" i="1"/>
  <c r="B17" i="1"/>
  <c r="AB16" i="1"/>
  <c r="Y16" i="1"/>
  <c r="V16" i="1"/>
  <c r="S16" i="1"/>
  <c r="P16" i="1"/>
  <c r="M16" i="1"/>
  <c r="G16" i="1"/>
  <c r="D16" i="1" s="1"/>
  <c r="C16" i="1"/>
  <c r="B16" i="1"/>
  <c r="AB15" i="1"/>
  <c r="Y15" i="1"/>
  <c r="V15" i="1"/>
  <c r="S15" i="1"/>
  <c r="P15" i="1"/>
  <c r="J15" i="1"/>
  <c r="G15" i="1"/>
  <c r="C15" i="1"/>
  <c r="B15" i="1"/>
  <c r="AB14" i="1"/>
  <c r="Y14" i="1"/>
  <c r="V14" i="1"/>
  <c r="S14" i="1"/>
  <c r="P14" i="1"/>
  <c r="M14" i="1"/>
  <c r="J14" i="1"/>
  <c r="G14" i="1"/>
  <c r="D14" i="1" s="1"/>
  <c r="F14" i="1"/>
  <c r="C14" i="1" s="1"/>
  <c r="E14" i="1"/>
  <c r="B14" i="1"/>
  <c r="AA13" i="1"/>
  <c r="AB13" i="1" s="1"/>
  <c r="Y13" i="1"/>
  <c r="V13" i="1"/>
  <c r="S13" i="1"/>
  <c r="P13" i="1"/>
  <c r="M13" i="1"/>
  <c r="J13" i="1"/>
  <c r="F13" i="1"/>
  <c r="C13" i="1" s="1"/>
  <c r="B13" i="1"/>
  <c r="Z12" i="1"/>
  <c r="X12" i="1"/>
  <c r="Y12" i="1" s="1"/>
  <c r="W12" i="1"/>
  <c r="W11" i="1" s="1"/>
  <c r="U12" i="1"/>
  <c r="U11" i="1" s="1"/>
  <c r="T12" i="1"/>
  <c r="S12" i="1"/>
  <c r="R12" i="1"/>
  <c r="Q12" i="1"/>
  <c r="O12" i="1"/>
  <c r="N12" i="1"/>
  <c r="N11" i="1" s="1"/>
  <c r="L12" i="1"/>
  <c r="M12" i="1" s="1"/>
  <c r="K12" i="1"/>
  <c r="K11" i="1" s="1"/>
  <c r="I12" i="1"/>
  <c r="H12" i="1"/>
  <c r="J12" i="1" s="1"/>
  <c r="E12" i="1"/>
  <c r="Z11" i="1"/>
  <c r="R11" i="1"/>
  <c r="Q11" i="1"/>
  <c r="I11" i="1"/>
  <c r="E11" i="1"/>
  <c r="P29" i="1" l="1"/>
  <c r="G52" i="1"/>
  <c r="F51" i="1"/>
  <c r="I57" i="1"/>
  <c r="J57" i="1" s="1"/>
  <c r="D136" i="1"/>
  <c r="O183" i="1"/>
  <c r="P184" i="1"/>
  <c r="M196" i="1"/>
  <c r="K192" i="1"/>
  <c r="K183" i="1" s="1"/>
  <c r="C205" i="1"/>
  <c r="V205" i="1"/>
  <c r="U401" i="1"/>
  <c r="M435" i="1"/>
  <c r="K434" i="1"/>
  <c r="H445" i="1"/>
  <c r="J446" i="1"/>
  <c r="P12" i="1"/>
  <c r="V12" i="1"/>
  <c r="D17" i="1"/>
  <c r="D18" i="1"/>
  <c r="D24" i="1"/>
  <c r="D28" i="1"/>
  <c r="AB29" i="1"/>
  <c r="C32" i="1"/>
  <c r="G34" i="1"/>
  <c r="D34" i="1" s="1"/>
  <c r="D45" i="1"/>
  <c r="D47" i="1"/>
  <c r="I50" i="1"/>
  <c r="J50" i="1" s="1"/>
  <c r="M64" i="1"/>
  <c r="L63" i="1"/>
  <c r="M63" i="1" s="1"/>
  <c r="U72" i="1"/>
  <c r="U71" i="1" s="1"/>
  <c r="J78" i="1"/>
  <c r="D78" i="1" s="1"/>
  <c r="I92" i="1"/>
  <c r="J92" i="1" s="1"/>
  <c r="D98" i="1"/>
  <c r="M106" i="1"/>
  <c r="B106" i="1"/>
  <c r="D146" i="1"/>
  <c r="C166" i="1"/>
  <c r="L162" i="1"/>
  <c r="M162" i="1" s="1"/>
  <c r="E176" i="1"/>
  <c r="V177" i="1"/>
  <c r="U176" i="1"/>
  <c r="V176" i="1" s="1"/>
  <c r="I177" i="1"/>
  <c r="C177" i="1" s="1"/>
  <c r="J181" i="1"/>
  <c r="C189" i="1"/>
  <c r="L184" i="1"/>
  <c r="M184" i="1" s="1"/>
  <c r="M189" i="1"/>
  <c r="AA12" i="1"/>
  <c r="AA11" i="1" s="1"/>
  <c r="D15" i="1"/>
  <c r="D21" i="1"/>
  <c r="D22" i="1"/>
  <c r="D27" i="1"/>
  <c r="E51" i="1"/>
  <c r="E50" i="1" s="1"/>
  <c r="F72" i="1"/>
  <c r="G72" i="1" s="1"/>
  <c r="G82" i="1"/>
  <c r="D175" i="1"/>
  <c r="B178" i="1"/>
  <c r="Q177" i="1"/>
  <c r="Q176" i="1" s="1"/>
  <c r="B192" i="1"/>
  <c r="I254" i="1"/>
  <c r="C255" i="1"/>
  <c r="B301" i="1"/>
  <c r="Z301" i="1"/>
  <c r="B302" i="1"/>
  <c r="V51" i="1"/>
  <c r="U50" i="1"/>
  <c r="D25" i="1"/>
  <c r="D26" i="1"/>
  <c r="J30" i="1"/>
  <c r="G31" i="1"/>
  <c r="D31" i="1" s="1"/>
  <c r="C33" i="1"/>
  <c r="G33" i="1"/>
  <c r="D33" i="1" s="1"/>
  <c r="D35" i="1"/>
  <c r="D40" i="1"/>
  <c r="D42" i="1"/>
  <c r="D44" i="1"/>
  <c r="S72" i="1"/>
  <c r="M104" i="1"/>
  <c r="B104" i="1"/>
  <c r="D55" i="1"/>
  <c r="V64" i="1"/>
  <c r="D67" i="1"/>
  <c r="S71" i="1"/>
  <c r="D77" i="1"/>
  <c r="C82" i="1"/>
  <c r="S92" i="1"/>
  <c r="D93" i="1"/>
  <c r="D99" i="1"/>
  <c r="D105" i="1"/>
  <c r="D107" i="1"/>
  <c r="D113" i="1"/>
  <c r="D116" i="1"/>
  <c r="D117" i="1"/>
  <c r="D119" i="1"/>
  <c r="M132" i="1"/>
  <c r="D132" i="1" s="1"/>
  <c r="D140" i="1"/>
  <c r="D141" i="1"/>
  <c r="D147" i="1"/>
  <c r="M153" i="1"/>
  <c r="D153" i="1" s="1"/>
  <c r="D154" i="1"/>
  <c r="M155" i="1"/>
  <c r="D155" i="1" s="1"/>
  <c r="D156" i="1"/>
  <c r="D157" i="1"/>
  <c r="P161" i="1"/>
  <c r="D163" i="1"/>
  <c r="D171" i="1"/>
  <c r="D172" i="1"/>
  <c r="G177" i="1"/>
  <c r="AB177" i="1"/>
  <c r="V184" i="1"/>
  <c r="D185" i="1"/>
  <c r="D189" i="1"/>
  <c r="Y190" i="1"/>
  <c r="G192" i="1"/>
  <c r="S192" i="1"/>
  <c r="D193" i="1"/>
  <c r="V198" i="1"/>
  <c r="D198" i="1" s="1"/>
  <c r="AB198" i="1"/>
  <c r="B205" i="1"/>
  <c r="AB205" i="1"/>
  <c r="AB209" i="1"/>
  <c r="D209" i="1" s="1"/>
  <c r="C209" i="1"/>
  <c r="D212" i="1"/>
  <c r="M214" i="1"/>
  <c r="Y216" i="1"/>
  <c r="J244" i="1"/>
  <c r="G261" i="1"/>
  <c r="J264" i="1"/>
  <c r="M271" i="1"/>
  <c r="T271" i="1"/>
  <c r="T270" i="1" s="1"/>
  <c r="B275" i="1"/>
  <c r="I270" i="1"/>
  <c r="J280" i="1"/>
  <c r="E270" i="1"/>
  <c r="C302" i="1"/>
  <c r="G302" i="1"/>
  <c r="AB309" i="1"/>
  <c r="D36" i="1"/>
  <c r="D41" i="1"/>
  <c r="Y50" i="1"/>
  <c r="M52" i="1"/>
  <c r="D52" i="1" s="1"/>
  <c r="G58" i="1"/>
  <c r="AB58" i="1"/>
  <c r="H63" i="1"/>
  <c r="P64" i="1"/>
  <c r="R64" i="1"/>
  <c r="D73" i="1"/>
  <c r="D76" i="1"/>
  <c r="D80" i="1"/>
  <c r="D85" i="1"/>
  <c r="B95" i="1"/>
  <c r="D97" i="1"/>
  <c r="J103" i="1"/>
  <c r="J118" i="1"/>
  <c r="J120" i="1"/>
  <c r="D122" i="1"/>
  <c r="B123" i="1"/>
  <c r="D124" i="1"/>
  <c r="J129" i="1"/>
  <c r="S129" i="1"/>
  <c r="D135" i="1"/>
  <c r="D144" i="1"/>
  <c r="D145" i="1"/>
  <c r="D151" i="1"/>
  <c r="D160" i="1"/>
  <c r="Y162" i="1"/>
  <c r="R177" i="1"/>
  <c r="Y177" i="1"/>
  <c r="D178" i="1"/>
  <c r="S178" i="1"/>
  <c r="G181" i="1"/>
  <c r="D181" i="1" s="1"/>
  <c r="S184" i="1"/>
  <c r="C190" i="1"/>
  <c r="N183" i="1"/>
  <c r="AB200" i="1"/>
  <c r="D201" i="1"/>
  <c r="Y203" i="1"/>
  <c r="M205" i="1"/>
  <c r="S205" i="1"/>
  <c r="J208" i="1"/>
  <c r="Y202" i="1"/>
  <c r="P259" i="1"/>
  <c r="M266" i="1"/>
  <c r="S268" i="1"/>
  <c r="B290" i="1"/>
  <c r="C295" i="1"/>
  <c r="AB305" i="1"/>
  <c r="AA304" i="1"/>
  <c r="AB304" i="1" s="1"/>
  <c r="W329" i="1"/>
  <c r="W304" i="1" s="1"/>
  <c r="Y363" i="1"/>
  <c r="B363" i="1"/>
  <c r="D32" i="1"/>
  <c r="D43" i="1"/>
  <c r="AB52" i="1"/>
  <c r="D53" i="1"/>
  <c r="S57" i="1"/>
  <c r="Q64" i="1"/>
  <c r="B65" i="1"/>
  <c r="P63" i="1"/>
  <c r="D70" i="1"/>
  <c r="V71" i="1"/>
  <c r="D75" i="1"/>
  <c r="B78" i="1"/>
  <c r="J82" i="1"/>
  <c r="Z72" i="1"/>
  <c r="D100" i="1"/>
  <c r="D101" i="1"/>
  <c r="B111" i="1"/>
  <c r="D115" i="1"/>
  <c r="D123" i="1"/>
  <c r="D127" i="1"/>
  <c r="P129" i="1"/>
  <c r="D133" i="1"/>
  <c r="D139" i="1"/>
  <c r="D148" i="1"/>
  <c r="D149" i="1"/>
  <c r="M152" i="1"/>
  <c r="D152" i="1" s="1"/>
  <c r="D164" i="1"/>
  <c r="D165" i="1"/>
  <c r="D170" i="1"/>
  <c r="D174" i="1"/>
  <c r="H183" i="1"/>
  <c r="D186" i="1"/>
  <c r="D187" i="1"/>
  <c r="G190" i="1"/>
  <c r="D191" i="1"/>
  <c r="Z183" i="1"/>
  <c r="AB183" i="1" s="1"/>
  <c r="Z202" i="1"/>
  <c r="G216" i="1"/>
  <c r="I216" i="1"/>
  <c r="D253" i="1"/>
  <c r="K257" i="1"/>
  <c r="R257" i="1"/>
  <c r="S264" i="1"/>
  <c r="P320" i="1"/>
  <c r="O304" i="1"/>
  <c r="M423" i="1"/>
  <c r="L420" i="1"/>
  <c r="L419" i="1" s="1"/>
  <c r="M419" i="1" s="1"/>
  <c r="U216" i="1"/>
  <c r="D222" i="1"/>
  <c r="D223" i="1"/>
  <c r="D226" i="1"/>
  <c r="D232" i="1"/>
  <c r="P242" i="1"/>
  <c r="M254" i="1"/>
  <c r="V266" i="1"/>
  <c r="AB268" i="1"/>
  <c r="C282" i="1"/>
  <c r="X270" i="1"/>
  <c r="D289" i="1"/>
  <c r="S290" i="1"/>
  <c r="D293" i="1"/>
  <c r="O270" i="1"/>
  <c r="D297" i="1"/>
  <c r="D299" i="1"/>
  <c r="AB301" i="1"/>
  <c r="N304" i="1"/>
  <c r="C309" i="1"/>
  <c r="D310" i="1"/>
  <c r="AB350" i="1"/>
  <c r="C374" i="1"/>
  <c r="O367" i="1"/>
  <c r="T418" i="1"/>
  <c r="Z419" i="1"/>
  <c r="AB420" i="1"/>
  <c r="W433" i="1"/>
  <c r="Y433" i="1" s="1"/>
  <c r="Y437" i="1"/>
  <c r="J445" i="1"/>
  <c r="C451" i="1"/>
  <c r="Y453" i="1"/>
  <c r="AA461" i="1"/>
  <c r="AB462" i="1"/>
  <c r="M198" i="1"/>
  <c r="J203" i="1"/>
  <c r="D203" i="1" s="1"/>
  <c r="N202" i="1"/>
  <c r="S203" i="1"/>
  <c r="W202" i="1"/>
  <c r="B208" i="1"/>
  <c r="J217" i="1"/>
  <c r="C224" i="1"/>
  <c r="B229" i="1"/>
  <c r="D231" i="1"/>
  <c r="D239" i="1"/>
  <c r="AB242" i="1"/>
  <c r="V244" i="1"/>
  <c r="D249" i="1"/>
  <c r="D252" i="1"/>
  <c r="M253" i="1"/>
  <c r="D256" i="1"/>
  <c r="M258" i="1"/>
  <c r="D262" i="1"/>
  <c r="F257" i="1"/>
  <c r="P264" i="1"/>
  <c r="D267" i="1"/>
  <c r="D272" i="1"/>
  <c r="S278" i="1"/>
  <c r="G280" i="1"/>
  <c r="H270" i="1"/>
  <c r="J270" i="1" s="1"/>
  <c r="D283" i="1"/>
  <c r="D286" i="1"/>
  <c r="P290" i="1"/>
  <c r="G295" i="1"/>
  <c r="B295" i="1"/>
  <c r="J301" i="1"/>
  <c r="S301" i="1"/>
  <c r="Y305" i="1"/>
  <c r="G307" i="1"/>
  <c r="D333" i="1"/>
  <c r="W366" i="1"/>
  <c r="M375" i="1"/>
  <c r="B375" i="1"/>
  <c r="AB375" i="1"/>
  <c r="AA366" i="1"/>
  <c r="AB366" i="1" s="1"/>
  <c r="M388" i="1"/>
  <c r="D388" i="1" s="1"/>
  <c r="B388" i="1"/>
  <c r="C405" i="1"/>
  <c r="B416" i="1"/>
  <c r="G416" i="1"/>
  <c r="S428" i="1"/>
  <c r="R419" i="1"/>
  <c r="S419" i="1" s="1"/>
  <c r="Q445" i="1"/>
  <c r="B451" i="1"/>
  <c r="D197" i="1"/>
  <c r="M197" i="1"/>
  <c r="Y198" i="1"/>
  <c r="G200" i="1"/>
  <c r="D200" i="1" s="1"/>
  <c r="P200" i="1"/>
  <c r="B203" i="1"/>
  <c r="P205" i="1"/>
  <c r="D207" i="1"/>
  <c r="S208" i="1"/>
  <c r="D211" i="1"/>
  <c r="B214" i="1"/>
  <c r="D214" i="1"/>
  <c r="Q216" i="1"/>
  <c r="V219" i="1"/>
  <c r="D219" i="1" s="1"/>
  <c r="D224" i="1"/>
  <c r="D236" i="1"/>
  <c r="M242" i="1"/>
  <c r="S242" i="1"/>
  <c r="D247" i="1"/>
  <c r="J255" i="1"/>
  <c r="G264" i="1"/>
  <c r="Z257" i="1"/>
  <c r="AB257" i="1" s="1"/>
  <c r="P268" i="1"/>
  <c r="B271" i="1"/>
  <c r="D274" i="1"/>
  <c r="AB280" i="1"/>
  <c r="D281" i="1"/>
  <c r="G290" i="1"/>
  <c r="D290" i="1" s="1"/>
  <c r="D294" i="1"/>
  <c r="D298" i="1"/>
  <c r="V301" i="1"/>
  <c r="S303" i="1"/>
  <c r="D303" i="1" s="1"/>
  <c r="V305" i="1"/>
  <c r="Z304" i="1"/>
  <c r="D308" i="1"/>
  <c r="Y309" i="1"/>
  <c r="D311" i="1"/>
  <c r="B322" i="1"/>
  <c r="M322" i="1"/>
  <c r="K320" i="1"/>
  <c r="B320" i="1" s="1"/>
  <c r="Y329" i="1"/>
  <c r="G375" i="1"/>
  <c r="C375" i="1"/>
  <c r="C379" i="1"/>
  <c r="L377" i="1"/>
  <c r="M379" i="1"/>
  <c r="G388" i="1"/>
  <c r="C388" i="1"/>
  <c r="D390" i="1"/>
  <c r="N401" i="1"/>
  <c r="Z401" i="1"/>
  <c r="AB419" i="1"/>
  <c r="H430" i="1"/>
  <c r="J431" i="1"/>
  <c r="Q433" i="1"/>
  <c r="I433" i="1"/>
  <c r="J433" i="1" s="1"/>
  <c r="J434" i="1"/>
  <c r="AA439" i="1"/>
  <c r="AB439" i="1" s="1"/>
  <c r="AB440" i="1"/>
  <c r="G451" i="1"/>
  <c r="P456" i="1"/>
  <c r="D312" i="1"/>
  <c r="P314" i="1"/>
  <c r="U304" i="1"/>
  <c r="J320" i="1"/>
  <c r="V320" i="1"/>
  <c r="AB320" i="1"/>
  <c r="L320" i="1"/>
  <c r="V329" i="1"/>
  <c r="G330" i="1"/>
  <c r="D343" i="1"/>
  <c r="J329" i="1"/>
  <c r="D351" i="1"/>
  <c r="D354" i="1"/>
  <c r="M356" i="1"/>
  <c r="D356" i="1" s="1"/>
  <c r="D360" i="1"/>
  <c r="M364" i="1"/>
  <c r="S364" i="1"/>
  <c r="D372" i="1"/>
  <c r="R366" i="1"/>
  <c r="Y375" i="1"/>
  <c r="D376" i="1"/>
  <c r="D379" i="1"/>
  <c r="C380" i="1"/>
  <c r="D384" i="1"/>
  <c r="Y385" i="1"/>
  <c r="S388" i="1"/>
  <c r="D389" i="1"/>
  <c r="Y394" i="1"/>
  <c r="G396" i="1"/>
  <c r="D396" i="1" s="1"/>
  <c r="P399" i="1"/>
  <c r="P402" i="1"/>
  <c r="V402" i="1"/>
  <c r="Y405" i="1"/>
  <c r="J407" i="1"/>
  <c r="P407" i="1"/>
  <c r="G413" i="1"/>
  <c r="AB413" i="1"/>
  <c r="P416" i="1"/>
  <c r="AB416" i="1"/>
  <c r="G420" i="1"/>
  <c r="M420" i="1"/>
  <c r="D421" i="1"/>
  <c r="D427" i="1"/>
  <c r="J430" i="1"/>
  <c r="Y434" i="1"/>
  <c r="S448" i="1"/>
  <c r="Y448" i="1"/>
  <c r="Q450" i="1"/>
  <c r="V451" i="1"/>
  <c r="G456" i="1"/>
  <c r="G462" i="1"/>
  <c r="D315" i="1"/>
  <c r="D319" i="1"/>
  <c r="D322" i="1"/>
  <c r="D331" i="1"/>
  <c r="D345" i="1"/>
  <c r="J350" i="1"/>
  <c r="D363" i="1"/>
  <c r="T366" i="1"/>
  <c r="V385" i="1"/>
  <c r="D392" i="1"/>
  <c r="D393" i="1"/>
  <c r="B399" i="1"/>
  <c r="V405" i="1"/>
  <c r="AB405" i="1"/>
  <c r="D406" i="1"/>
  <c r="B407" i="1"/>
  <c r="D409" i="1"/>
  <c r="W419" i="1"/>
  <c r="N418" i="1"/>
  <c r="D435" i="1"/>
  <c r="F450" i="1"/>
  <c r="S462" i="1"/>
  <c r="D316" i="1"/>
  <c r="D325" i="1"/>
  <c r="M329" i="1"/>
  <c r="D332" i="1"/>
  <c r="D335" i="1"/>
  <c r="D344" i="1"/>
  <c r="D346" i="1"/>
  <c r="D349" i="1"/>
  <c r="B350" i="1"/>
  <c r="D359" i="1"/>
  <c r="C362" i="1"/>
  <c r="J367" i="1"/>
  <c r="V367" i="1"/>
  <c r="D371" i="1"/>
  <c r="D373" i="1"/>
  <c r="P375" i="1"/>
  <c r="D383" i="1"/>
  <c r="V394" i="1"/>
  <c r="D395" i="1"/>
  <c r="D398" i="1"/>
  <c r="Y399" i="1"/>
  <c r="D400" i="1"/>
  <c r="D402" i="1"/>
  <c r="W401" i="1"/>
  <c r="Q401" i="1"/>
  <c r="AB407" i="1"/>
  <c r="D408" i="1"/>
  <c r="D410" i="1"/>
  <c r="B411" i="1"/>
  <c r="B413" i="1"/>
  <c r="D415" i="1"/>
  <c r="H419" i="1"/>
  <c r="H418" i="1" s="1"/>
  <c r="M428" i="1"/>
  <c r="V428" i="1"/>
  <c r="AB428" i="1"/>
  <c r="J437" i="1"/>
  <c r="P437" i="1"/>
  <c r="V437" i="1"/>
  <c r="V453" i="1"/>
  <c r="D459" i="1"/>
  <c r="AB11" i="1"/>
  <c r="P71" i="1"/>
  <c r="S64" i="1"/>
  <c r="R63" i="1"/>
  <c r="N71" i="1"/>
  <c r="P72" i="1"/>
  <c r="AB72" i="1"/>
  <c r="Z71" i="1"/>
  <c r="O11" i="1"/>
  <c r="P30" i="1"/>
  <c r="AB30" i="1"/>
  <c r="L51" i="1"/>
  <c r="Y51" i="1"/>
  <c r="G57" i="1"/>
  <c r="S58" i="1"/>
  <c r="H11" i="1"/>
  <c r="L11" i="1"/>
  <c r="T11" i="1"/>
  <c r="X11" i="1"/>
  <c r="G13" i="1"/>
  <c r="D13" i="1" s="1"/>
  <c r="H29" i="1"/>
  <c r="J29" i="1" s="1"/>
  <c r="L29" i="1"/>
  <c r="M29" i="1" s="1"/>
  <c r="T29" i="1"/>
  <c r="V29" i="1" s="1"/>
  <c r="X29" i="1"/>
  <c r="Y29" i="1" s="1"/>
  <c r="E30" i="1"/>
  <c r="B31" i="1"/>
  <c r="Y37" i="1"/>
  <c r="D37" i="1" s="1"/>
  <c r="D38" i="1"/>
  <c r="G46" i="1"/>
  <c r="D46" i="1" s="1"/>
  <c r="Z51" i="1"/>
  <c r="N57" i="1"/>
  <c r="P57" i="1" s="1"/>
  <c r="C58" i="1"/>
  <c r="P58" i="1"/>
  <c r="Y58" i="1"/>
  <c r="X57" i="1"/>
  <c r="Y57" i="1" s="1"/>
  <c r="D61" i="1"/>
  <c r="J63" i="1"/>
  <c r="D65" i="1"/>
  <c r="C69" i="1"/>
  <c r="H72" i="1"/>
  <c r="V72" i="1"/>
  <c r="J79" i="1"/>
  <c r="D81" i="1"/>
  <c r="D83" i="1"/>
  <c r="G91" i="1"/>
  <c r="D91" i="1" s="1"/>
  <c r="C91" i="1"/>
  <c r="M96" i="1"/>
  <c r="D96" i="1" s="1"/>
  <c r="K92" i="1"/>
  <c r="B96" i="1"/>
  <c r="J104" i="1"/>
  <c r="C104" i="1"/>
  <c r="J106" i="1"/>
  <c r="D106" i="1" s="1"/>
  <c r="C106" i="1"/>
  <c r="D108" i="1"/>
  <c r="D109" i="1"/>
  <c r="D128" i="1"/>
  <c r="D205" i="1"/>
  <c r="S11" i="1"/>
  <c r="AB12" i="1"/>
  <c r="B12" i="1"/>
  <c r="F12" i="1"/>
  <c r="F30" i="1"/>
  <c r="D48" i="1"/>
  <c r="S51" i="1"/>
  <c r="R50" i="1"/>
  <c r="S50" i="1" s="1"/>
  <c r="M58" i="1"/>
  <c r="L57" i="1"/>
  <c r="M57" i="1" s="1"/>
  <c r="U63" i="1"/>
  <c r="AB64" i="1"/>
  <c r="S66" i="1"/>
  <c r="D66" i="1" s="1"/>
  <c r="C66" i="1"/>
  <c r="D69" i="1"/>
  <c r="AB71" i="1"/>
  <c r="G92" i="1"/>
  <c r="C92" i="1"/>
  <c r="D111" i="1"/>
  <c r="M118" i="1"/>
  <c r="D118" i="1" s="1"/>
  <c r="B118" i="1"/>
  <c r="D196" i="1"/>
  <c r="J216" i="1"/>
  <c r="T216" i="1"/>
  <c r="V216" i="1" s="1"/>
  <c r="V217" i="1"/>
  <c r="V50" i="1"/>
  <c r="G64" i="1"/>
  <c r="D64" i="1" s="1"/>
  <c r="C64" i="1"/>
  <c r="F63" i="1"/>
  <c r="Y72" i="1"/>
  <c r="X71" i="1"/>
  <c r="Y71" i="1" s="1"/>
  <c r="D79" i="1"/>
  <c r="M102" i="1"/>
  <c r="D102" i="1" s="1"/>
  <c r="B102" i="1"/>
  <c r="M120" i="1"/>
  <c r="D120" i="1" s="1"/>
  <c r="B120" i="1"/>
  <c r="G51" i="1"/>
  <c r="C51" i="1"/>
  <c r="F50" i="1"/>
  <c r="C52" i="1"/>
  <c r="M54" i="1"/>
  <c r="D54" i="1" s="1"/>
  <c r="D82" i="1"/>
  <c r="M82" i="1"/>
  <c r="AB92" i="1"/>
  <c r="D104" i="1"/>
  <c r="D121" i="1"/>
  <c r="I72" i="1"/>
  <c r="C78" i="1"/>
  <c r="C95" i="1"/>
  <c r="J95" i="1"/>
  <c r="D95" i="1" s="1"/>
  <c r="M103" i="1"/>
  <c r="C111" i="1"/>
  <c r="C113" i="1"/>
  <c r="B128" i="1"/>
  <c r="K129" i="1"/>
  <c r="B129" i="1" s="1"/>
  <c r="E161" i="1"/>
  <c r="I161" i="1"/>
  <c r="Q161" i="1"/>
  <c r="U161" i="1"/>
  <c r="V161" i="1" s="1"/>
  <c r="B162" i="1"/>
  <c r="J162" i="1"/>
  <c r="B166" i="1"/>
  <c r="M166" i="1"/>
  <c r="D166" i="1" s="1"/>
  <c r="C174" i="1"/>
  <c r="K176" i="1"/>
  <c r="M176" i="1" s="1"/>
  <c r="O176" i="1"/>
  <c r="P176" i="1" s="1"/>
  <c r="W176" i="1"/>
  <c r="Y176" i="1" s="1"/>
  <c r="AA176" i="1"/>
  <c r="AB176" i="1" s="1"/>
  <c r="E183" i="1"/>
  <c r="I183" i="1"/>
  <c r="Q183" i="1"/>
  <c r="U183" i="1"/>
  <c r="B184" i="1"/>
  <c r="J184" i="1"/>
  <c r="B190" i="1"/>
  <c r="J190" i="1"/>
  <c r="L192" i="1"/>
  <c r="M192" i="1" s="1"/>
  <c r="D192" i="1" s="1"/>
  <c r="B198" i="1"/>
  <c r="F202" i="1"/>
  <c r="R202" i="1"/>
  <c r="S202" i="1" s="1"/>
  <c r="C203" i="1"/>
  <c r="L208" i="1"/>
  <c r="AA216" i="1"/>
  <c r="M220" i="1"/>
  <c r="K217" i="1"/>
  <c r="D221" i="1"/>
  <c r="M225" i="1"/>
  <c r="D225" i="1" s="1"/>
  <c r="D237" i="1"/>
  <c r="C242" i="1"/>
  <c r="Y242" i="1"/>
  <c r="D242" i="1" s="1"/>
  <c r="S244" i="1"/>
  <c r="D245" i="1"/>
  <c r="C254" i="1"/>
  <c r="J254" i="1"/>
  <c r="B255" i="1"/>
  <c r="W257" i="1"/>
  <c r="J258" i="1"/>
  <c r="I257" i="1"/>
  <c r="V258" i="1"/>
  <c r="U257" i="1"/>
  <c r="D259" i="1"/>
  <c r="O258" i="1"/>
  <c r="C258" i="1" s="1"/>
  <c r="C259" i="1"/>
  <c r="J261" i="1"/>
  <c r="B261" i="1"/>
  <c r="D264" i="1"/>
  <c r="B264" i="1"/>
  <c r="M264" i="1"/>
  <c r="C266" i="1"/>
  <c r="J266" i="1"/>
  <c r="B121" i="1"/>
  <c r="C128" i="1"/>
  <c r="L129" i="1"/>
  <c r="C132" i="1"/>
  <c r="C150" i="1"/>
  <c r="C152" i="1"/>
  <c r="AA162" i="1"/>
  <c r="C162" i="1" s="1"/>
  <c r="F183" i="1"/>
  <c r="R183" i="1"/>
  <c r="C198" i="1"/>
  <c r="K202" i="1"/>
  <c r="O202" i="1"/>
  <c r="P202" i="1" s="1"/>
  <c r="B209" i="1"/>
  <c r="C214" i="1"/>
  <c r="G217" i="1"/>
  <c r="C217" i="1"/>
  <c r="D228" i="1"/>
  <c r="P230" i="1"/>
  <c r="O229" i="1"/>
  <c r="D251" i="1"/>
  <c r="G254" i="1"/>
  <c r="X257" i="1"/>
  <c r="Y257" i="1" s="1"/>
  <c r="G258" i="1"/>
  <c r="B258" i="1"/>
  <c r="E257" i="1"/>
  <c r="G257" i="1" s="1"/>
  <c r="S258" i="1"/>
  <c r="Q257" i="1"/>
  <c r="S257" i="1" s="1"/>
  <c r="D263" i="1"/>
  <c r="G266" i="1"/>
  <c r="D266" i="1" s="1"/>
  <c r="B266" i="1"/>
  <c r="S271" i="1"/>
  <c r="R270" i="1"/>
  <c r="U271" i="1"/>
  <c r="C271" i="1" s="1"/>
  <c r="V275" i="1"/>
  <c r="D275" i="1" s="1"/>
  <c r="C275" i="1"/>
  <c r="D278" i="1"/>
  <c r="P270" i="1"/>
  <c r="C320" i="1"/>
  <c r="D220" i="1"/>
  <c r="G229" i="1"/>
  <c r="C229" i="1"/>
  <c r="G244" i="1"/>
  <c r="C244" i="1"/>
  <c r="AB255" i="1"/>
  <c r="D255" i="1" s="1"/>
  <c r="Z254" i="1"/>
  <c r="AB254" i="1" s="1"/>
  <c r="B268" i="1"/>
  <c r="M268" i="1"/>
  <c r="P271" i="1"/>
  <c r="N270" i="1"/>
  <c r="AB271" i="1"/>
  <c r="Z270" i="1"/>
  <c r="S276" i="1"/>
  <c r="D276" i="1" s="1"/>
  <c r="C276" i="1"/>
  <c r="C123" i="1"/>
  <c r="L161" i="1"/>
  <c r="M161" i="1" s="1"/>
  <c r="X161" i="1"/>
  <c r="Y161" i="1" s="1"/>
  <c r="F176" i="1"/>
  <c r="R176" i="1"/>
  <c r="C181" i="1"/>
  <c r="X183" i="1"/>
  <c r="C200" i="1"/>
  <c r="E202" i="1"/>
  <c r="B202" i="1" s="1"/>
  <c r="I202" i="1"/>
  <c r="J202" i="1" s="1"/>
  <c r="U202" i="1"/>
  <c r="V202" i="1" s="1"/>
  <c r="AA208" i="1"/>
  <c r="AB208" i="1" s="1"/>
  <c r="S217" i="1"/>
  <c r="R216" i="1"/>
  <c r="S216" i="1" s="1"/>
  <c r="D218" i="1"/>
  <c r="S229" i="1"/>
  <c r="M230" i="1"/>
  <c r="D230" i="1" s="1"/>
  <c r="D241" i="1"/>
  <c r="B242" i="1"/>
  <c r="B247" i="1"/>
  <c r="K244" i="1"/>
  <c r="B244" i="1" s="1"/>
  <c r="L257" i="1"/>
  <c r="M257" i="1" s="1"/>
  <c r="T257" i="1"/>
  <c r="C260" i="1"/>
  <c r="P260" i="1"/>
  <c r="D260" i="1" s="1"/>
  <c r="C261" i="1"/>
  <c r="M261" i="1"/>
  <c r="C268" i="1"/>
  <c r="G271" i="1"/>
  <c r="AA270" i="1"/>
  <c r="AB270" i="1" s="1"/>
  <c r="P304" i="1"/>
  <c r="C278" i="1"/>
  <c r="C280" i="1"/>
  <c r="M282" i="1"/>
  <c r="Q282" i="1"/>
  <c r="Y282" i="1"/>
  <c r="B283" i="1"/>
  <c r="C290" i="1"/>
  <c r="P295" i="1"/>
  <c r="AB295" i="1"/>
  <c r="F301" i="1"/>
  <c r="F270" i="1" s="1"/>
  <c r="AB302" i="1"/>
  <c r="D302" i="1" s="1"/>
  <c r="H304" i="1"/>
  <c r="T304" i="1"/>
  <c r="X304" i="1"/>
  <c r="Y304" i="1" s="1"/>
  <c r="M305" i="1"/>
  <c r="C307" i="1"/>
  <c r="S307" i="1"/>
  <c r="M309" i="1"/>
  <c r="D309" i="1" s="1"/>
  <c r="J314" i="1"/>
  <c r="V314" i="1"/>
  <c r="M317" i="1"/>
  <c r="D317" i="1" s="1"/>
  <c r="M323" i="1"/>
  <c r="D323" i="1" s="1"/>
  <c r="E329" i="1"/>
  <c r="B329" i="1" s="1"/>
  <c r="B330" i="1"/>
  <c r="D353" i="1"/>
  <c r="C356" i="1"/>
  <c r="C357" i="1"/>
  <c r="G364" i="1"/>
  <c r="B364" i="1"/>
  <c r="F367" i="1"/>
  <c r="G369" i="1"/>
  <c r="D369" i="1" s="1"/>
  <c r="C369" i="1"/>
  <c r="P374" i="1"/>
  <c r="D374" i="1" s="1"/>
  <c r="B374" i="1"/>
  <c r="N367" i="1"/>
  <c r="S375" i="1"/>
  <c r="G377" i="1"/>
  <c r="E366" i="1"/>
  <c r="X366" i="1"/>
  <c r="Y366" i="1" s="1"/>
  <c r="B380" i="1"/>
  <c r="M380" i="1"/>
  <c r="K377" i="1"/>
  <c r="D381" i="1"/>
  <c r="J385" i="1"/>
  <c r="B385" i="1"/>
  <c r="B394" i="1"/>
  <c r="P419" i="1"/>
  <c r="K270" i="1"/>
  <c r="W270" i="1"/>
  <c r="W182" i="1" s="1"/>
  <c r="B282" i="1"/>
  <c r="J282" i="1"/>
  <c r="M295" i="1"/>
  <c r="E304" i="1"/>
  <c r="I304" i="1"/>
  <c r="J304" i="1" s="1"/>
  <c r="Q304" i="1"/>
  <c r="S304" i="1" s="1"/>
  <c r="B305" i="1"/>
  <c r="P307" i="1"/>
  <c r="AB307" i="1"/>
  <c r="B309" i="1"/>
  <c r="K314" i="1"/>
  <c r="M318" i="1"/>
  <c r="D318" i="1" s="1"/>
  <c r="M324" i="1"/>
  <c r="D324" i="1" s="1"/>
  <c r="F329" i="1"/>
  <c r="M330" i="1"/>
  <c r="C341" i="1"/>
  <c r="G350" i="1"/>
  <c r="D350" i="1" s="1"/>
  <c r="D357" i="1"/>
  <c r="L270" i="1"/>
  <c r="M270" i="1" s="1"/>
  <c r="L314" i="1"/>
  <c r="D348" i="1"/>
  <c r="D365" i="1"/>
  <c r="M367" i="1"/>
  <c r="B369" i="1"/>
  <c r="H366" i="1"/>
  <c r="U366" i="1"/>
  <c r="V366" i="1" s="1"/>
  <c r="V377" i="1"/>
  <c r="D378" i="1"/>
  <c r="D380" i="1"/>
  <c r="D382" i="1"/>
  <c r="D387" i="1"/>
  <c r="J394" i="1"/>
  <c r="C364" i="1"/>
  <c r="J364" i="1"/>
  <c r="I366" i="1"/>
  <c r="J377" i="1"/>
  <c r="S377" i="1"/>
  <c r="Q366" i="1"/>
  <c r="S366" i="1" s="1"/>
  <c r="O377" i="1"/>
  <c r="P380" i="1"/>
  <c r="Y419" i="1"/>
  <c r="F394" i="1"/>
  <c r="L399" i="1"/>
  <c r="M399" i="1" s="1"/>
  <c r="D399" i="1" s="1"/>
  <c r="H401" i="1"/>
  <c r="L401" i="1"/>
  <c r="M401" i="1" s="1"/>
  <c r="T401" i="1"/>
  <c r="X401" i="1"/>
  <c r="Y401" i="1" s="1"/>
  <c r="G407" i="1"/>
  <c r="C407" i="1"/>
  <c r="G411" i="1"/>
  <c r="D411" i="1" s="1"/>
  <c r="C411" i="1"/>
  <c r="C413" i="1"/>
  <c r="Y413" i="1"/>
  <c r="D413" i="1" s="1"/>
  <c r="R416" i="1"/>
  <c r="C416" i="1" s="1"/>
  <c r="V416" i="1"/>
  <c r="P420" i="1"/>
  <c r="D422" i="1"/>
  <c r="D426" i="1"/>
  <c r="B428" i="1"/>
  <c r="J428" i="1"/>
  <c r="Y428" i="1"/>
  <c r="D428" i="1" s="1"/>
  <c r="B400" i="1"/>
  <c r="E401" i="1"/>
  <c r="I401" i="1"/>
  <c r="B402" i="1"/>
  <c r="D404" i="1"/>
  <c r="B405" i="1"/>
  <c r="V420" i="1"/>
  <c r="U419" i="1"/>
  <c r="D424" i="1"/>
  <c r="G430" i="1"/>
  <c r="P431" i="1"/>
  <c r="O430" i="1"/>
  <c r="P430" i="1" s="1"/>
  <c r="B420" i="1"/>
  <c r="E419" i="1"/>
  <c r="J420" i="1"/>
  <c r="I419" i="1"/>
  <c r="C419" i="1" s="1"/>
  <c r="K430" i="1"/>
  <c r="B431" i="1"/>
  <c r="C396" i="1"/>
  <c r="C399" i="1"/>
  <c r="O401" i="1"/>
  <c r="P401" i="1" s="1"/>
  <c r="AA401" i="1"/>
  <c r="AB401" i="1" s="1"/>
  <c r="M405" i="1"/>
  <c r="D405" i="1" s="1"/>
  <c r="S407" i="1"/>
  <c r="S411" i="1"/>
  <c r="C417" i="1"/>
  <c r="Y420" i="1"/>
  <c r="D423" i="1"/>
  <c r="S430" i="1"/>
  <c r="M431" i="1"/>
  <c r="D431" i="1" s="1"/>
  <c r="AB431" i="1"/>
  <c r="AA430" i="1"/>
  <c r="L430" i="1"/>
  <c r="X430" i="1"/>
  <c r="Y430" i="1" s="1"/>
  <c r="O433" i="1"/>
  <c r="P433" i="1" s="1"/>
  <c r="AA433" i="1"/>
  <c r="B437" i="1"/>
  <c r="B439" i="1"/>
  <c r="V439" i="1"/>
  <c r="B440" i="1"/>
  <c r="M440" i="1"/>
  <c r="L439" i="1"/>
  <c r="M439" i="1" s="1"/>
  <c r="V440" i="1"/>
  <c r="D441" i="1"/>
  <c r="S442" i="1"/>
  <c r="P443" i="1"/>
  <c r="O442" i="1"/>
  <c r="P442" i="1" s="1"/>
  <c r="Y443" i="1"/>
  <c r="S446" i="1"/>
  <c r="R445" i="1"/>
  <c r="AB446" i="1"/>
  <c r="Y456" i="1"/>
  <c r="X455" i="1"/>
  <c r="Y455" i="1" s="1"/>
  <c r="S440" i="1"/>
  <c r="R439" i="1"/>
  <c r="S439" i="1" s="1"/>
  <c r="V443" i="1"/>
  <c r="U442" i="1"/>
  <c r="V442" i="1" s="1"/>
  <c r="Y446" i="1"/>
  <c r="X445" i="1"/>
  <c r="Y445" i="1" s="1"/>
  <c r="G450" i="1"/>
  <c r="P451" i="1"/>
  <c r="O450" i="1"/>
  <c r="P450" i="1" s="1"/>
  <c r="J453" i="1"/>
  <c r="V456" i="1"/>
  <c r="T455" i="1"/>
  <c r="V455" i="1" s="1"/>
  <c r="AA456" i="1"/>
  <c r="C457" i="1"/>
  <c r="AB457" i="1"/>
  <c r="P461" i="1"/>
  <c r="O460" i="1"/>
  <c r="P460" i="1" s="1"/>
  <c r="M462" i="1"/>
  <c r="L461" i="1"/>
  <c r="D437" i="1"/>
  <c r="Y440" i="1"/>
  <c r="X439" i="1"/>
  <c r="Y439" i="1" s="1"/>
  <c r="AB443" i="1"/>
  <c r="AA442" i="1"/>
  <c r="AB442" i="1" s="1"/>
  <c r="G446" i="1"/>
  <c r="C446" i="1"/>
  <c r="F445" i="1"/>
  <c r="G448" i="1"/>
  <c r="D448" i="1" s="1"/>
  <c r="C448" i="1"/>
  <c r="M451" i="1"/>
  <c r="K450" i="1"/>
  <c r="AB451" i="1"/>
  <c r="AA450" i="1"/>
  <c r="G453" i="1"/>
  <c r="H455" i="1"/>
  <c r="B455" i="1" s="1"/>
  <c r="K456" i="1"/>
  <c r="K455" i="1" s="1"/>
  <c r="M457" i="1"/>
  <c r="B457" i="1"/>
  <c r="AB461" i="1"/>
  <c r="AA460" i="1"/>
  <c r="AB460" i="1" s="1"/>
  <c r="J462" i="1"/>
  <c r="B462" i="1"/>
  <c r="H461" i="1"/>
  <c r="H460" i="1" s="1"/>
  <c r="Y462" i="1"/>
  <c r="X461" i="1"/>
  <c r="F433" i="1"/>
  <c r="R433" i="1"/>
  <c r="Z433" i="1"/>
  <c r="C434" i="1"/>
  <c r="C437" i="1"/>
  <c r="G440" i="1"/>
  <c r="C440" i="1"/>
  <c r="F439" i="1"/>
  <c r="P440" i="1"/>
  <c r="Y442" i="1"/>
  <c r="B443" i="1"/>
  <c r="E442" i="1"/>
  <c r="B442" i="1" s="1"/>
  <c r="J443" i="1"/>
  <c r="I442" i="1"/>
  <c r="J442" i="1" s="1"/>
  <c r="S443" i="1"/>
  <c r="B445" i="1"/>
  <c r="V445" i="1"/>
  <c r="B446" i="1"/>
  <c r="M446" i="1"/>
  <c r="L445" i="1"/>
  <c r="M445" i="1" s="1"/>
  <c r="V446" i="1"/>
  <c r="D447" i="1"/>
  <c r="B448" i="1"/>
  <c r="D449" i="1"/>
  <c r="S450" i="1"/>
  <c r="Y451" i="1"/>
  <c r="W450" i="1"/>
  <c r="AB454" i="1"/>
  <c r="D454" i="1" s="1"/>
  <c r="Z453" i="1"/>
  <c r="Z450" i="1" s="1"/>
  <c r="Z418" i="1" s="1"/>
  <c r="M456" i="1"/>
  <c r="L455" i="1"/>
  <c r="C458" i="1"/>
  <c r="M458" i="1"/>
  <c r="D458" i="1" s="1"/>
  <c r="J461" i="1"/>
  <c r="V462" i="1"/>
  <c r="T461" i="1"/>
  <c r="T460" i="1" s="1"/>
  <c r="C454" i="1"/>
  <c r="I456" i="1"/>
  <c r="E450" i="1"/>
  <c r="I450" i="1"/>
  <c r="J450" i="1" s="1"/>
  <c r="U450" i="1"/>
  <c r="V450" i="1" s="1"/>
  <c r="L453" i="1"/>
  <c r="F455" i="1"/>
  <c r="R455" i="1"/>
  <c r="S455" i="1" s="1"/>
  <c r="C456" i="1"/>
  <c r="E460" i="1"/>
  <c r="I460" i="1"/>
  <c r="U460" i="1"/>
  <c r="V460" i="1" s="1"/>
  <c r="F461" i="1"/>
  <c r="R461" i="1"/>
  <c r="C462" i="1"/>
  <c r="B453" i="1" l="1"/>
  <c r="D462" i="1"/>
  <c r="D457" i="1"/>
  <c r="D307" i="1"/>
  <c r="T182" i="1"/>
  <c r="C192" i="1"/>
  <c r="D268" i="1"/>
  <c r="D190" i="1"/>
  <c r="Q418" i="1"/>
  <c r="D280" i="1"/>
  <c r="B177" i="1"/>
  <c r="W418" i="1"/>
  <c r="D443" i="1"/>
  <c r="D420" i="1"/>
  <c r="J366" i="1"/>
  <c r="D330" i="1"/>
  <c r="K304" i="1"/>
  <c r="D295" i="1"/>
  <c r="D385" i="1"/>
  <c r="D375" i="1"/>
  <c r="H182" i="1"/>
  <c r="S176" i="1"/>
  <c r="M320" i="1"/>
  <c r="D320" i="1" s="1"/>
  <c r="D103" i="1"/>
  <c r="S177" i="1"/>
  <c r="C184" i="1"/>
  <c r="K433" i="1"/>
  <c r="M433" i="1" s="1"/>
  <c r="B434" i="1"/>
  <c r="M434" i="1"/>
  <c r="D434" i="1" s="1"/>
  <c r="P183" i="1"/>
  <c r="I176" i="1"/>
  <c r="J176" i="1" s="1"/>
  <c r="J177" i="1"/>
  <c r="D451" i="1"/>
  <c r="S433" i="1"/>
  <c r="V401" i="1"/>
  <c r="F366" i="1"/>
  <c r="P367" i="1"/>
  <c r="D305" i="1"/>
  <c r="L183" i="1"/>
  <c r="M183" i="1" s="1"/>
  <c r="D184" i="1"/>
  <c r="F71" i="1"/>
  <c r="D58" i="1"/>
  <c r="S63" i="1"/>
  <c r="C420" i="1"/>
  <c r="B64" i="1"/>
  <c r="Q63" i="1"/>
  <c r="B63" i="1" s="1"/>
  <c r="G270" i="1"/>
  <c r="G366" i="1"/>
  <c r="D314" i="1"/>
  <c r="AB453" i="1"/>
  <c r="J460" i="1"/>
  <c r="G455" i="1"/>
  <c r="B450" i="1"/>
  <c r="G433" i="1"/>
  <c r="C433" i="1"/>
  <c r="B456" i="1"/>
  <c r="AB450" i="1"/>
  <c r="Y450" i="1"/>
  <c r="C442" i="1"/>
  <c r="AB456" i="1"/>
  <c r="AA455" i="1"/>
  <c r="AB455" i="1" s="1"/>
  <c r="M430" i="1"/>
  <c r="C430" i="1"/>
  <c r="J401" i="1"/>
  <c r="B367" i="1"/>
  <c r="M314" i="1"/>
  <c r="B304" i="1"/>
  <c r="G367" i="1"/>
  <c r="D367" i="1" s="1"/>
  <c r="C367" i="1"/>
  <c r="L304" i="1"/>
  <c r="M304" i="1" s="1"/>
  <c r="C314" i="1"/>
  <c r="G176" i="1"/>
  <c r="D176" i="1" s="1"/>
  <c r="D254" i="1"/>
  <c r="N366" i="1"/>
  <c r="N182" i="1" s="1"/>
  <c r="D261" i="1"/>
  <c r="V257" i="1"/>
  <c r="K216" i="1"/>
  <c r="M217" i="1"/>
  <c r="D217" i="1" s="1"/>
  <c r="B217" i="1"/>
  <c r="B183" i="1"/>
  <c r="E182" i="1"/>
  <c r="J161" i="1"/>
  <c r="M244" i="1"/>
  <c r="B176" i="1"/>
  <c r="Z50" i="1"/>
  <c r="AB51" i="1"/>
  <c r="T10" i="1"/>
  <c r="T9" i="1" s="1"/>
  <c r="V11" i="1"/>
  <c r="D57" i="1"/>
  <c r="B57" i="1"/>
  <c r="B51" i="1"/>
  <c r="S461" i="1"/>
  <c r="R460" i="1"/>
  <c r="S460" i="1" s="1"/>
  <c r="B460" i="1"/>
  <c r="M453" i="1"/>
  <c r="L450" i="1"/>
  <c r="M450" i="1" s="1"/>
  <c r="D450" i="1" s="1"/>
  <c r="J456" i="1"/>
  <c r="I455" i="1"/>
  <c r="J455" i="1" s="1"/>
  <c r="M455" i="1"/>
  <c r="C439" i="1"/>
  <c r="G439" i="1"/>
  <c r="D439" i="1" s="1"/>
  <c r="Y461" i="1"/>
  <c r="X460" i="1"/>
  <c r="Y460" i="1" s="1"/>
  <c r="D446" i="1"/>
  <c r="G442" i="1"/>
  <c r="D442" i="1" s="1"/>
  <c r="M461" i="1"/>
  <c r="L460" i="1"/>
  <c r="M460" i="1" s="1"/>
  <c r="B461" i="1"/>
  <c r="C453" i="1"/>
  <c r="V461" i="1"/>
  <c r="AB433" i="1"/>
  <c r="B430" i="1"/>
  <c r="B419" i="1"/>
  <c r="E418" i="1"/>
  <c r="B401" i="1"/>
  <c r="D407" i="1"/>
  <c r="G401" i="1"/>
  <c r="B314" i="1"/>
  <c r="S282" i="1"/>
  <c r="D282" i="1" s="1"/>
  <c r="Q270" i="1"/>
  <c r="S270" i="1" s="1"/>
  <c r="Y183" i="1"/>
  <c r="X182" i="1"/>
  <c r="Y182" i="1" s="1"/>
  <c r="D258" i="1"/>
  <c r="AA202" i="1"/>
  <c r="S183" i="1"/>
  <c r="V183" i="1"/>
  <c r="G161" i="1"/>
  <c r="B161" i="1"/>
  <c r="G50" i="1"/>
  <c r="Y270" i="1"/>
  <c r="G71" i="1"/>
  <c r="G30" i="1"/>
  <c r="D30" i="1" s="1"/>
  <c r="C30" i="1"/>
  <c r="F29" i="1"/>
  <c r="B30" i="1"/>
  <c r="E29" i="1"/>
  <c r="M11" i="1"/>
  <c r="P11" i="1"/>
  <c r="O10" i="1"/>
  <c r="W10" i="1"/>
  <c r="AB430" i="1"/>
  <c r="D430" i="1" s="1"/>
  <c r="AA418" i="1"/>
  <c r="AB418" i="1" s="1"/>
  <c r="X418" i="1"/>
  <c r="Y418" i="1" s="1"/>
  <c r="P377" i="1"/>
  <c r="O366" i="1"/>
  <c r="G329" i="1"/>
  <c r="D329" i="1" s="1"/>
  <c r="C329" i="1"/>
  <c r="F304" i="1"/>
  <c r="O418" i="1"/>
  <c r="P418" i="1" s="1"/>
  <c r="K366" i="1"/>
  <c r="M377" i="1"/>
  <c r="D377" i="1" s="1"/>
  <c r="L366" i="1"/>
  <c r="C366" i="1" s="1"/>
  <c r="D244" i="1"/>
  <c r="Z216" i="1"/>
  <c r="Z182" i="1" s="1"/>
  <c r="O216" i="1"/>
  <c r="P229" i="1"/>
  <c r="D229" i="1" s="1"/>
  <c r="G183" i="1"/>
  <c r="C183" i="1"/>
  <c r="F182" i="1"/>
  <c r="P258" i="1"/>
  <c r="O257" i="1"/>
  <c r="P257" i="1" s="1"/>
  <c r="J257" i="1"/>
  <c r="D257" i="1" s="1"/>
  <c r="G202" i="1"/>
  <c r="V63" i="1"/>
  <c r="U10" i="1"/>
  <c r="C12" i="1"/>
  <c r="F11" i="1"/>
  <c r="G12" i="1"/>
  <c r="D12" i="1" s="1"/>
  <c r="M92" i="1"/>
  <c r="B92" i="1"/>
  <c r="K72" i="1"/>
  <c r="K71" i="1" s="1"/>
  <c r="K10" i="1" s="1"/>
  <c r="H71" i="1"/>
  <c r="H10" i="1" s="1"/>
  <c r="H9" i="1" s="1"/>
  <c r="B72" i="1"/>
  <c r="J11" i="1"/>
  <c r="B11" i="1"/>
  <c r="M51" i="1"/>
  <c r="D51" i="1" s="1"/>
  <c r="L50" i="1"/>
  <c r="M50" i="1" s="1"/>
  <c r="N10" i="1"/>
  <c r="G461" i="1"/>
  <c r="F460" i="1"/>
  <c r="C461" i="1"/>
  <c r="D440" i="1"/>
  <c r="C445" i="1"/>
  <c r="G445" i="1"/>
  <c r="F418" i="1"/>
  <c r="S445" i="1"/>
  <c r="R418" i="1"/>
  <c r="S418" i="1" s="1"/>
  <c r="J419" i="1"/>
  <c r="I418" i="1"/>
  <c r="J418" i="1" s="1"/>
  <c r="V419" i="1"/>
  <c r="U418" i="1"/>
  <c r="V418" i="1" s="1"/>
  <c r="R401" i="1"/>
  <c r="S416" i="1"/>
  <c r="D416" i="1" s="1"/>
  <c r="G394" i="1"/>
  <c r="D394" i="1" s="1"/>
  <c r="C394" i="1"/>
  <c r="C377" i="1"/>
  <c r="G419" i="1"/>
  <c r="B377" i="1"/>
  <c r="D364" i="1"/>
  <c r="G301" i="1"/>
  <c r="D301" i="1" s="1"/>
  <c r="C301" i="1"/>
  <c r="C208" i="1"/>
  <c r="V304" i="1"/>
  <c r="U270" i="1"/>
  <c r="V270" i="1" s="1"/>
  <c r="V271" i="1"/>
  <c r="D271" i="1" s="1"/>
  <c r="B257" i="1"/>
  <c r="B254" i="1"/>
  <c r="AB162" i="1"/>
  <c r="D162" i="1" s="1"/>
  <c r="AA161" i="1"/>
  <c r="M129" i="1"/>
  <c r="D129" i="1" s="1"/>
  <c r="L72" i="1"/>
  <c r="C72" i="1" s="1"/>
  <c r="L202" i="1"/>
  <c r="M202" i="1" s="1"/>
  <c r="M208" i="1"/>
  <c r="D208" i="1" s="1"/>
  <c r="J183" i="1"/>
  <c r="I182" i="1"/>
  <c r="J182" i="1" s="1"/>
  <c r="S161" i="1"/>
  <c r="C129" i="1"/>
  <c r="I71" i="1"/>
  <c r="J71" i="1" s="1"/>
  <c r="J72" i="1"/>
  <c r="C63" i="1"/>
  <c r="G63" i="1"/>
  <c r="D92" i="1"/>
  <c r="Y11" i="1"/>
  <c r="X10" i="1"/>
  <c r="C57" i="1"/>
  <c r="R10" i="1"/>
  <c r="U182" i="1" l="1"/>
  <c r="V182" i="1" s="1"/>
  <c r="D456" i="1"/>
  <c r="C202" i="1"/>
  <c r="B433" i="1"/>
  <c r="D63" i="1"/>
  <c r="B366" i="1"/>
  <c r="K418" i="1"/>
  <c r="B418" i="1" s="1"/>
  <c r="N9" i="1"/>
  <c r="Q10" i="1"/>
  <c r="D419" i="1"/>
  <c r="O182" i="1"/>
  <c r="P182" i="1" s="1"/>
  <c r="W9" i="1"/>
  <c r="D453" i="1"/>
  <c r="C176" i="1"/>
  <c r="D177" i="1"/>
  <c r="AB161" i="1"/>
  <c r="D161" i="1" s="1"/>
  <c r="AA10" i="1"/>
  <c r="V10" i="1"/>
  <c r="U9" i="1"/>
  <c r="V9" i="1" s="1"/>
  <c r="C161" i="1"/>
  <c r="K182" i="1"/>
  <c r="K9" i="1" s="1"/>
  <c r="G418" i="1"/>
  <c r="C418" i="1"/>
  <c r="S10" i="1"/>
  <c r="S401" i="1"/>
  <c r="D401" i="1" s="1"/>
  <c r="C401" i="1"/>
  <c r="D445" i="1"/>
  <c r="G460" i="1"/>
  <c r="D460" i="1" s="1"/>
  <c r="C460" i="1"/>
  <c r="D183" i="1"/>
  <c r="M72" i="1"/>
  <c r="D72" i="1" s="1"/>
  <c r="L71" i="1"/>
  <c r="M71" i="1" s="1"/>
  <c r="D71" i="1" s="1"/>
  <c r="D461" i="1"/>
  <c r="B71" i="1"/>
  <c r="AB216" i="1"/>
  <c r="M366" i="1"/>
  <c r="P366" i="1"/>
  <c r="C29" i="1"/>
  <c r="G29" i="1"/>
  <c r="D29" i="1" s="1"/>
  <c r="R182" i="1"/>
  <c r="M216" i="1"/>
  <c r="B216" i="1"/>
  <c r="L418" i="1"/>
  <c r="C455" i="1"/>
  <c r="B270" i="1"/>
  <c r="X9" i="1"/>
  <c r="Y9" i="1" s="1"/>
  <c r="Y10" i="1"/>
  <c r="G11" i="1"/>
  <c r="D11" i="1" s="1"/>
  <c r="F10" i="1"/>
  <c r="C11" i="1"/>
  <c r="Q182" i="1"/>
  <c r="Q9" i="1" s="1"/>
  <c r="C257" i="1"/>
  <c r="G182" i="1"/>
  <c r="L182" i="1"/>
  <c r="M182" i="1" s="1"/>
  <c r="G304" i="1"/>
  <c r="D304" i="1" s="1"/>
  <c r="C304" i="1"/>
  <c r="I10" i="1"/>
  <c r="D455" i="1"/>
  <c r="C270" i="1"/>
  <c r="P216" i="1"/>
  <c r="C216" i="1"/>
  <c r="P10" i="1"/>
  <c r="B29" i="1"/>
  <c r="E10" i="1"/>
  <c r="C50" i="1"/>
  <c r="AB202" i="1"/>
  <c r="D202" i="1" s="1"/>
  <c r="AA182" i="1"/>
  <c r="AB182" i="1" s="1"/>
  <c r="AB50" i="1"/>
  <c r="D50" i="1" s="1"/>
  <c r="Z10" i="1"/>
  <c r="Z9" i="1" s="1"/>
  <c r="B50" i="1"/>
  <c r="C450" i="1"/>
  <c r="D433" i="1"/>
  <c r="D270" i="1"/>
  <c r="L10" i="1" l="1"/>
  <c r="O9" i="1"/>
  <c r="P9" i="1" s="1"/>
  <c r="M418" i="1"/>
  <c r="D418" i="1" s="1"/>
  <c r="C71" i="1"/>
  <c r="D366" i="1"/>
  <c r="L9" i="1"/>
  <c r="M9" i="1" s="1"/>
  <c r="M10" i="1"/>
  <c r="S182" i="1"/>
  <c r="D182" i="1" s="1"/>
  <c r="G10" i="1"/>
  <c r="C10" i="1"/>
  <c r="F9" i="1"/>
  <c r="R9" i="1"/>
  <c r="S9" i="1" s="1"/>
  <c r="E9" i="1"/>
  <c r="B9" i="1" s="1"/>
  <c r="B10" i="1"/>
  <c r="D216" i="1"/>
  <c r="AB10" i="1"/>
  <c r="AA9" i="1"/>
  <c r="AB9" i="1" s="1"/>
  <c r="J10" i="1"/>
  <c r="I9" i="1"/>
  <c r="J9" i="1" s="1"/>
  <c r="B182" i="1"/>
  <c r="C182" i="1"/>
  <c r="D10" i="1" l="1"/>
  <c r="G9" i="1"/>
  <c r="D9" i="1" s="1"/>
  <c r="C9" i="1"/>
</calcChain>
</file>

<file path=xl/comments1.xml><?xml version="1.0" encoding="utf-8"?>
<comments xmlns="http://schemas.openxmlformats.org/spreadsheetml/2006/main">
  <authors>
    <author>Diana Gavrailova</author>
    <author>Автор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2760 лева са в бюджета на Кметство Дебелец за авторски надзор</t>
        </r>
      </text>
    </comment>
    <comment ref="Z255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2*22476 аванс технически проект платени през 2017 г., но невключени в искането. Трябва да се поискат в тази сума</t>
        </r>
      </text>
    </comment>
    <comment ref="AA255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2*22476 аванс технически проект платени през 2017 г., но невключени в искането. Трябва да се поискат в тази сума</t>
        </r>
      </text>
    </comment>
    <comment ref="B293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541 1098 - /-/14153 лв.
554 1098- /-/13847 лв.</t>
        </r>
      </text>
    </comment>
    <comment ref="B294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526 1098 - /-/31497 лв.
550 1098- /-/503 лв.</t>
        </r>
      </text>
    </comment>
  </commentList>
</comments>
</file>

<file path=xl/sharedStrings.xml><?xml version="1.0" encoding="utf-8"?>
<sst xmlns="http://schemas.openxmlformats.org/spreadsheetml/2006/main" count="510" uniqueCount="376">
  <si>
    <t>ПРИЛОЖЕНИЕ 1</t>
  </si>
  <si>
    <t>ИНВЕСТИЦИОННА ПРОГРАМА</t>
  </si>
  <si>
    <t xml:space="preserve"> НА ОБЩИНА ВЕЛИКО ТЪРНОВО</t>
  </si>
  <si>
    <t>към 30.11.2020</t>
  </si>
  <si>
    <t>НАИМЕНОВАНИЕ НА ОБЕКТИТЕ</t>
  </si>
  <si>
    <t xml:space="preserve">ВСИЧКО </t>
  </si>
  <si>
    <t xml:space="preserve">Целева субсидия </t>
  </si>
  <si>
    <t>Приватизация</t>
  </si>
  <si>
    <t>Собствени бюджетни средства</t>
  </si>
  <si>
    <t xml:space="preserve">Преходен остатък по бюджета </t>
  </si>
  <si>
    <t>Сметки за средства от Европейския съюз</t>
  </si>
  <si>
    <t>Трансфери м/у бюджета и ЦБ и други</t>
  </si>
  <si>
    <t>Прех.остатъци от 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</si>
  <si>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</si>
  <si>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</si>
  <si>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</si>
  <si>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</si>
  <si>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ВСИЧКО РАЗХОДИ:</t>
  </si>
  <si>
    <t>5100  ОСНОВЕН  РЕМОНТ НА ДМА</t>
  </si>
  <si>
    <t>Функция 01 Общи държавни служби</t>
  </si>
  <si>
    <t>ОБЕКТИ</t>
  </si>
  <si>
    <t>Основен ремонт сграда Община Велико Търново</t>
  </si>
  <si>
    <t>Основен ремонт сграда Дирекция МДТ, Община Велико Търново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</si>
  <si>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</si>
  <si>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сграда (отоплителна инсталация кметство Никюп, 30% от продажби на общинско имущество)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</si>
  <si>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</si>
  <si>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</si>
  <si>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</si>
  <si>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Самоводене</t>
  </si>
  <si>
    <t>Основен ремонт сгради общинска собственост на територията на кметство с. Русаля</t>
  </si>
  <si>
    <t>Основен ремонт сгради общинска собственост на територията на кметство с. Ялово</t>
  </si>
  <si>
    <t>Основен ремонт сгради общинска собственост на територията на кметство с. Пчелище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</si>
  <si>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</si>
  <si>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</si>
  <si>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</si>
  <si>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Буковец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</si>
  <si>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</si>
  <si>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</si>
  <si>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"Трета", с. Малки чифлик</t>
  </si>
  <si>
    <t>Възстановяване на улични участъци с. Дебелец</t>
  </si>
  <si>
    <t>Възстановяване на улични участъци в гр. Килифарево</t>
  </si>
  <si>
    <t>Възстановяване на улични участъци в с. Ресен</t>
  </si>
  <si>
    <t>Възстановяване на улични участъци в с. Хотница</t>
  </si>
  <si>
    <t>Възстановяване на улици в с. Ново село - водостоци, ПМС 92/17.04.2015 г.</t>
  </si>
  <si>
    <t>Възстановяване на път VTR1021 /път ІІІ-551/ - Велчево - Капиновски манастир, ПМС 92/17.04.2015 г.</t>
  </si>
  <si>
    <t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115/10.05.2016 г. - 349 993 лв., ПМС 160/04.08.2017 г. - 98 012 лв.</t>
  </si>
  <si>
    <t>Възтановяване на покрив на Детска градина "Здравец", гр. Велико Търново, ПМС 247/07.11.2017 г.</t>
  </si>
  <si>
    <t>Възстановяване на църковен храм "Св Архангел Михаил", с. Миндя,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</si>
  <si>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</si>
  <si>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292 от 12.12.2018 г. и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</si>
  <si>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</si>
  <si>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общински път VTR 1006 (път І-4 Севлиево - Велико Търново) - депо за строителни отпадъци - с. Леденик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</si>
  <si>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</si>
  <si>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водосток и общински път GAB 3110 (път 
ІІІ-303) Керека-граница общини (Дряново - В.Търново) - Шемшево - Велико Търново, в участъка между новостроящ се мост над р. Янтра и гр. Велико Търново по ПМС 96 от 25.04.2019 г. и ПМС 250 от 04.09.2020 г.
</t>
  </si>
  <si>
    <t xml:space="preserve">Спасителни и неотложни аварийни работи при бедствия на включените чрез оперативните комуникационно-информационни центрове сили и средства на Единната спасителна система в община Велико Търново по ПМС 250 от 04.09.2020 г. </t>
  </si>
  <si>
    <t>Възстановяване сградата на детска градина „Слънце”, гр. Велико Търново, УПИ-II, кв. 109 по ПМС 250 от 04.09.2020 г.</t>
  </si>
  <si>
    <t>Възстановяване сградата на детска градина „Пинокио”, с. Самоводене, УПИ-I, кв. 37 - 50 311 лв., частично по ПМС 250 от 04.09.2020 г.</t>
  </si>
  <si>
    <t>Функция 03 Образование</t>
  </si>
  <si>
    <t>НДЕФ 3 бр училища СУ "Емилиян Станев", ОУ "П.Р. Славейков" и ОУ "Неофит Рилски" Килифарево - собствено участие и 800 000 НДЕФ</t>
  </si>
  <si>
    <t>Ремонтни дейности в учебните стаи на 4-ти етаж на ОУ "П.Р.Славейков"  град Велико Търново</t>
  </si>
  <si>
    <t>ПЕГ "Проф. д-р Асен Златаров" гр. В. Търново - подмяна на дограма</t>
  </si>
  <si>
    <t>Основен ремонт на детска площадка в ДГ "Пламъче", гр. Дебелец</t>
  </si>
  <si>
    <t>Изготвяне на проект за внедряване на мерки за енергийна ефективност в ДГ "Здравец" и завършване на новия корпус към нея</t>
  </si>
  <si>
    <t>Функция 04 Здравеопазване</t>
  </si>
  <si>
    <t>ДЯ "Пролет" - укрепване и ремонт на северната едноетажна част на сградата</t>
  </si>
  <si>
    <t>ДЯ "Слънце" - основен ремонт детска площадка</t>
  </si>
  <si>
    <t>ДЯ "Слънце" - основен ремонт покрив</t>
  </si>
  <si>
    <t>ДЯ "Шастливо детство" - саниране на сграда</t>
  </si>
  <si>
    <t>Функция 05  Социално осигур., подпомагане и грижи</t>
  </si>
  <si>
    <t>Ремонт и реконструкция на сграда за предоставяне на комплекс от социални услуги за възрастни по ОП „Региони в растеж“ 2014-2020г., №BG16RFOP001-5.002-0004-C01 /код 98/</t>
  </si>
  <si>
    <t>Основен ремонт на сграда за предоставяне на комплекс от социални услуги за деца по ОП „Региони в растеж“ 2014-2020г., №BG16RFOP001-5.001-0033-C01 /код 98/</t>
  </si>
  <si>
    <t xml:space="preserve">Проектиране и авторски надзор за обособяване на Център за социална рехабилитация и интеграция за лица с психични разстройства и за лица с интелектуални затруднения </t>
  </si>
  <si>
    <t>Проектиране и авторски надзор за обособяване на Център за комплексна подкрепа на лица с увреждания, вкл.с тежки множествени увреждания и техните семейства</t>
  </si>
  <si>
    <t>Основен ремонт сграда ЗЖЛУИ гр. Дебелец</t>
  </si>
  <si>
    <t>ЦСРИ "Бойчо Войвода" - вертикална планировка</t>
  </si>
  <si>
    <t>Функция 06 Жилищно строителство, Б К С и опазване  околната среда</t>
  </si>
  <si>
    <t>Рекултивация на депо за ТБО в с. Шереметя, Община Велико Търново /възстановяване/</t>
  </si>
  <si>
    <t xml:space="preserve">Основен ремонт на детски площадки, гр. Велико Търново </t>
  </si>
  <si>
    <t xml:space="preserve">Основен ремонт на детска площадка ул. "Работническа", гр. Дебелец </t>
  </si>
  <si>
    <t>Основен ремонт на съществуваща водопроводна мрежа</t>
  </si>
  <si>
    <t>Основен ремонт на улични настилки и съоръжения и подмяна на съществуваща ВиК структура по Споразумение №РД-02-30-59/24.10.2019 г. между МРРБ и Община Велико Търново</t>
  </si>
  <si>
    <t xml:space="preserve">Основен ремонт Улична осветителна мрежа </t>
  </si>
  <si>
    <t>Парк за отдих в централната част на с. Шемшево - реконструкция улично осветление /30 % от продажба на общинско имущество/</t>
  </si>
  <si>
    <t>Възстановяване на подпорна стена между ОК 1710 и ОК 1711 на ул."Полтава" ( при светофара за МЕТРО ) гр.Велико Търново</t>
  </si>
  <si>
    <t>Ремонт на санитарен възел с. Никюп /30% от продажба на общинско имущество/</t>
  </si>
  <si>
    <t>Основен ремонт улична мрежа, гр. В. Търново: ул. „Независимост“, ул.Стефан Стамболов, ул. „Михаил Кефалов“,  ул. „Георги Сава Раковски“ , пл.„Самоводски пазар“, ул.„Генерал Гурко”, ул.„Митрополит Панарет Рашев”, ул.„Тунел” , ул. „Крайбрежна“ , ул. „Йордан Инджето“ , ул. „Христо Иванов Войводата” , ул. „Петър Богданов“; ул. „Киро Тулешков“, ул. „Осма дружина“ ;  ул. "Драгоман", паркинг ул.“Крайбрежна“, вкл. реконструкция на пешеходни стъпала, ул. "Константин Костенечки", кв. Света гора, ул.'' Сан Стефано", кв Чолоковци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</si>
  <si>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</si>
  <si>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</si>
  <si>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на ул. "Мармарлийска" в участъка от ул. "Любен Каравелов" до ул. "Магистрална"</t>
  </si>
  <si>
    <t xml:space="preserve">Благоустрояване кв. "К.Фичето" </t>
  </si>
  <si>
    <t>Основен ремонт багер "Неусон"</t>
  </si>
  <si>
    <t>Стълбище към автогара Юг</t>
  </si>
  <si>
    <t>Ремонт стълбищна мрежа, гр. В. Търново</t>
  </si>
  <si>
    <t>Стъпала към ул. "Д. Найденов"</t>
  </si>
  <si>
    <t>Основен ремонт на парапет към ВТУ СВ СВ Кирил и Методий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</si>
  <si>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</si>
  <si>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 xml:space="preserve">Арбанаси </t>
  </si>
  <si>
    <t>Балван</t>
  </si>
  <si>
    <t>Беляковец /в т.ч. 4 780 лева преходен остатък/</t>
  </si>
  <si>
    <t>Буковец  /в т.ч. 4 000 лева преходен остатък/</t>
  </si>
  <si>
    <t>Велчево</t>
  </si>
  <si>
    <t>Ветренци</t>
  </si>
  <si>
    <t>Водолей</t>
  </si>
  <si>
    <t>Дичин</t>
  </si>
  <si>
    <t>Емен</t>
  </si>
  <si>
    <t>Къпиново  /в т.ч.1 020 лева от 30% продажба на общинско имущество/</t>
  </si>
  <si>
    <t>Леденик  /в т.ч. 12 000 лева преходен остатък и 4 050 лева от 30% продажба на общинско имущество/</t>
  </si>
  <si>
    <t>Малки Чифлик /в т.ч. 688 лева от 30% продажба на общинско имущество/</t>
  </si>
  <si>
    <t>Миндя</t>
  </si>
  <si>
    <t>Момин сбор /в т.ч.4 146 лева от 30% продажба на общинско имущество/</t>
  </si>
  <si>
    <t xml:space="preserve">Никюп </t>
  </si>
  <si>
    <t>Ново село</t>
  </si>
  <si>
    <t>Плаково  /в т.ч.2 558 лева преходен остатък/</t>
  </si>
  <si>
    <t>Присово</t>
  </si>
  <si>
    <t>Пушево  /в т.ч. 5 000 лева преходен остатък/</t>
  </si>
  <si>
    <t xml:space="preserve">Пчелище </t>
  </si>
  <si>
    <t>Русаля</t>
  </si>
  <si>
    <t>Хотница</t>
  </si>
  <si>
    <t>Шереметя</t>
  </si>
  <si>
    <t>Шемшево</t>
  </si>
  <si>
    <t>Церова кория</t>
  </si>
  <si>
    <t>Войнежа  /в т.ч. 5 500 лева преходен остатък/</t>
  </si>
  <si>
    <t>Вонеща вода</t>
  </si>
  <si>
    <t>Въглевци  /в т.ч. 5 500 лева преходен остатък/</t>
  </si>
  <si>
    <t>Габровци  /в т.ч. 5 500 лева преходен остатък/</t>
  </si>
  <si>
    <t>Големаните</t>
  </si>
  <si>
    <t>Райковци  /в т.ч. 9 000 лева преходен остатък/</t>
  </si>
  <si>
    <t>Ялово</t>
  </si>
  <si>
    <t>Дебелец</t>
  </si>
  <si>
    <t>Килифарево  /в т.ч. 3 600 от 30% продажба на общинско имущество/</t>
  </si>
  <si>
    <t>Ресен</t>
  </si>
  <si>
    <t>Самоводене  /в т.ч. 1 355 лева преходен остатък/</t>
  </si>
  <si>
    <t xml:space="preserve"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 </t>
  </si>
  <si>
    <t>Арбанаси</t>
  </si>
  <si>
    <t>Буковец /в т.ч. 10 000 преходен остатък/</t>
  </si>
  <si>
    <t>Къпиново</t>
  </si>
  <si>
    <t>Леденик</t>
  </si>
  <si>
    <t>Малки Чифлик</t>
  </si>
  <si>
    <t>Никюп</t>
  </si>
  <si>
    <t>Плаково</t>
  </si>
  <si>
    <t>Пушево</t>
  </si>
  <si>
    <t>Пчелище</t>
  </si>
  <si>
    <t>Войнежа /в т.ч. 10 000 преходен остатък/</t>
  </si>
  <si>
    <t>Въглевци  /в т.ч. 10 000 лева преходен остатък/</t>
  </si>
  <si>
    <t>Габровци  /в т.ч. 10 000 лева преходен остатък/</t>
  </si>
  <si>
    <t>Райковци  /в т.ч. 20 000 лева преходен остатък/</t>
  </si>
  <si>
    <t>Килифарево</t>
  </si>
  <si>
    <t>Самоводене</t>
  </si>
  <si>
    <t>Функция 07 Почивно дело, култура, религиоз. дейности</t>
  </si>
  <si>
    <t>Основен ремонт на Военен клуб Велико Търново</t>
  </si>
  <si>
    <t>Сграфито - платна - реставрация</t>
  </si>
  <si>
    <t>Реставрация на паметник "100 години от Освобождението от Османско иго", с. Ресен</t>
  </si>
  <si>
    <t>Ремонт на "Салон за физическо възпитание и спорт" в гр. Дебелец</t>
  </si>
  <si>
    <t>Възстановяване на сграда в двора на църквата "Св Архангели Михаил и Гавраил" с. Арбанаси - РИМ ВТ - Дофинансиране</t>
  </si>
  <si>
    <t>Енергийна ефективност по проект "Изкуство и култура" - Галерия ROBG-576 /код 96/</t>
  </si>
  <si>
    <t>Ремонт Изложбени зали "Рафаел Михайлов" - евакуационно осветление</t>
  </si>
  <si>
    <t>Читалище с. Беляковец, Програма "Инициативи на местните общности"</t>
  </si>
  <si>
    <t>Читалище с. Момин сбор, Програма "Инициативи на местните общности"</t>
  </si>
  <si>
    <t>Читалище с. Русаля, Програма "Инициативи на местните общности"</t>
  </si>
  <si>
    <t>Читалище с. Буковец, Програма "Инициативи на местните общности"</t>
  </si>
  <si>
    <t>Ремонт сграда ДКС "В. Левски" - главно осветление, високо тяло, игрално поле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</si>
  <si>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</si>
  <si>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</si>
  <si>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Интегриран градски транспорт на гр. Велико Търново по ОП „Региони в растеж“ 2014-2020г. BG16RFOP001-1.009-0005-C01 /код 98/</t>
  </si>
  <si>
    <t>Подобряване на експлоатационното състояние на местен път на Община Велико Търново с №000325 в землището на с. Леденик с ЕКАТТЕ 43253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</si>
  <si>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</si>
  <si>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Цонев"), с.Дичин-с. Лесичери, с. Дамяновци- с. Вонеща вода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</si>
  <si>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</si>
  <si>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</si>
  <si>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</si>
  <si>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Компютри и хардуер за нуждите на Великотърновски общински съвет</t>
  </si>
  <si>
    <t>Компютърна конфигурация за нуждите на Кметство гр. Дебелец</t>
  </si>
  <si>
    <t>Компютърна конфигурация за нуждите на Кметство гр. Килифарево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</si>
  <si>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</si>
  <si>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</si>
  <si>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</si>
  <si>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</si>
  <si>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</si>
  <si>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Многофункционални устройства, ксерокси за нуждите на Община Велико Търново</t>
  </si>
  <si>
    <t>Конферентна система, Голяма зала Община Велико Търново</t>
  </si>
  <si>
    <t>Община Велико Търново - система за контрол на достъп и работно време</t>
  </si>
  <si>
    <t>Доставка и монтаж на отоплителен котел за нуждите на Кметство гр. Килифарево</t>
  </si>
  <si>
    <t>5204 Придобиване на транспортни средства</t>
  </si>
  <si>
    <t>Товарен Бус за нуждите на Общинска администрация</t>
  </si>
  <si>
    <t>5219 Придобиване на други ДМА</t>
  </si>
  <si>
    <t>Контейнер за нуждите на Кметство с. Райковци</t>
  </si>
  <si>
    <t>Видеосистеми за видеонаблюдение</t>
  </si>
  <si>
    <t>Изграждане на видеонаблюдение в парковете "Света гора", "Марно поле", "Руски гробища", "Акация", "Зона В", "Бузлуджа", "Дружба","Н. Габровски", "Колю Фичето", "Чолаковци"</t>
  </si>
  <si>
    <t>5206 Инфраструктурни обекти</t>
  </si>
  <si>
    <t>Изграждане на отводнително съоръжение намиращо се в източната част на с. Ресен, до Хлебозавод „ Яна-1”, супермаркет „Централ-94” и прилежащите жилищни сгради, в т.ч. 14 580 лева от 30% от продажби на общинско имущество</t>
  </si>
  <si>
    <t>Възстановяване на разрушен участък от общински път VTR 1010 /републикански път І-5/ - ж.п. гара Дебелец - кв. "Чолаковци", гр. В. Търново при км 0+550 - ПМС 92/17.04.2015 г.- 425 716 лв. и ПМС 160/04.08.2017 г. - 18 336  лв.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</si>
  <si>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</si>
  <si>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</si>
  <si>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Възстановяване на подпорна стена в двора на детска градина "Ивайло", гр. Велико Търново, ПМС 63/26.04.2018 г.</t>
  </si>
  <si>
    <t>ОУ "Св. Патриарх Евтимий" - защитна стена Firewall</t>
  </si>
  <si>
    <t>Преносими компютри за нуждите на училищата по писмо на Министерство на финансите  №  ФО-52/02.11.2020 г.</t>
  </si>
  <si>
    <t>ПЕГ "Проф. д-р Асен Златаров" гр. В. Търново - STEM комплект за експериментална работа по природни науки</t>
  </si>
  <si>
    <t>Спортно училище "Георги Живков" - лаптопи</t>
  </si>
  <si>
    <t>Спортно училище "Георги Живков" - безжична WiFi  мрежа в общежитието</t>
  </si>
  <si>
    <t>ПЕГ "Проф. д-р Асен Златаров" гр. В. Търново - 6 бр. Лаптопи</t>
  </si>
  <si>
    <t>ПМГ "Васил Друмев"  гр. В. Търново -  лаптопи</t>
  </si>
  <si>
    <t xml:space="preserve">СУ "Вела Благоева" - лаптопи </t>
  </si>
  <si>
    <t>СУ "Вл. Комаров" - компютърни конфигурации</t>
  </si>
  <si>
    <t>СУ "Ем.Станев" - лаптопи</t>
  </si>
  <si>
    <t>ОУ "Бачо Киро" - лаптопи и интерактивен дисплей</t>
  </si>
  <si>
    <t>ОУ "Иван Рилски" - с. Балван</t>
  </si>
  <si>
    <t>СУ "Вл. Комаров" - климатици</t>
  </si>
  <si>
    <t>ПМГ "В. Друмев" - термовизионна камера</t>
  </si>
  <si>
    <t>ОУ "Св. Патриарх Евтимий" - класна стая на открито</t>
  </si>
  <si>
    <t>ОУ "Христо Смирненски" село Самоводене - кулна оранжерия, ПУДООС</t>
  </si>
  <si>
    <t>ДГ "Мечо Пух", с. Беляковец - детска площадка, ПУДООС</t>
  </si>
  <si>
    <t>ДГ с. Самоводене - детска площадка</t>
  </si>
  <si>
    <t>ДГ Пролет", В. Търново - стълбищен гъсеничен подемник</t>
  </si>
  <si>
    <t>Климатици за нуждите на детските градини в Община Велико Търново</t>
  </si>
  <si>
    <t>Климатик за нуждите на Дирекция ОМДС</t>
  </si>
  <si>
    <t>ОУ "Бачо Киро" - видеонаблюдение</t>
  </si>
  <si>
    <t>5205  Придобиване на стопански инвентар</t>
  </si>
  <si>
    <t>ДГ "Евгения Кисимова" - професионални електрически фурни</t>
  </si>
  <si>
    <t>ДГ "Слънце" - професионални стерилизатори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</si>
  <si>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</si>
  <si>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</si>
  <si>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</si>
  <si>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"Райна Княгиня" -  професионална пекарна</t>
  </si>
  <si>
    <t>ДГ "Св.Св. Кирил и Методий" -  професионални пекарна, печка и зеленчукорезачка</t>
  </si>
  <si>
    <t>Ученически спол при ОУ "Св. Патриарх Евтимий" - фризер</t>
  </si>
  <si>
    <t>СУ "Вела Благоева" - подопочистващи машини</t>
  </si>
  <si>
    <t>Изграждане на ДГ за 120 места в кв. "Зона - В", ПМС 260/24.11.2017 година /</t>
  </si>
  <si>
    <t>Разширение и довършване на съществуваща детска градина в УПИ III 153 А, ДГ „Здравец“-ПМС 315/19.12.2018</t>
  </si>
  <si>
    <t>Компютри за нуждите на детски ясли</t>
  </si>
  <si>
    <t>Компютри за нуждите на здравните кабинети</t>
  </si>
  <si>
    <t>Професионални машини за автоматично обуване на калцуни от термосвиваемо фолио за нуждите на Детските ясли на територията на Община Велико Търново</t>
  </si>
  <si>
    <t>ДЯ "Щастливо детство" - документален скенер</t>
  </si>
  <si>
    <t>Лек автомобил за нуждите на Детски ясли</t>
  </si>
  <si>
    <t>КПИ и ЦРДМ - компютри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</si>
  <si>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</si>
  <si>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</si>
  <si>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Целева програма за подпомагане на образователния процес при децата и младежите, настанени в социални услуги</t>
  </si>
  <si>
    <t>Комютри и хардуер за нуждите на комплекс от социални услуги за деца по ОП „Региони в растеж“ 2014-2020г., №BG16RFOP001-5.001-0033-C01 /код 98/</t>
  </si>
  <si>
    <t>Комютри и хардуер за нуждите на проект "Патронажна грижа за възрастни хора и лица с увреждания - компонент 3" BG05M9OP001-2.101-0077-C01 /код 98/</t>
  </si>
  <si>
    <t>Компютри и хардуер по проект "Изграждане на комплекс от социални услуги за възрастни" по ОП „Региони в растеж“ 2014-2020г., №BG16RFOP001-5.002-0004-C01 /код 98/</t>
  </si>
  <si>
    <t>Общностен център за деца и родители "ЦАРЕВГРАД" BG05M9OP001-2.004-0046-C03 /код 98/</t>
  </si>
  <si>
    <t>Оборудване за нуждите на комплекс от социални услуги за деца по ОП „Региони в растеж“ 2014-2020г., №BG16RFOP001-5.001-0033-C01 /код 98/</t>
  </si>
  <si>
    <t>Оборудване за нуждите на проект "Изграждане на комплекс от социални услуги за възрастни" по ОП „Региони в растеж“ 2014-2020г., №BG16RFOP001-5.002-0004-C01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</si>
  <si>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</si>
  <si>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Климатик КПИ с. Пчелище</t>
  </si>
  <si>
    <t>ЦНСТПЛУИ ул. "Н. Габровски", източно крило - доставка и монтаж на газов котел</t>
  </si>
  <si>
    <t>ЦНСТДМБУ ул. "Иларион Драгостинов" 2 - доставка и монтаж на газов котел</t>
  </si>
  <si>
    <t>ЦНСТ ул. "Цветарска" 14 - слънчеви колектори</t>
  </si>
  <si>
    <t>Автомобил за нуждите на Домашен социален патронаж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</si>
  <si>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</si>
  <si>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Автомобил за нуждите на ДПЛУИ и ЗЖЛУИ с. Пчелище</t>
  </si>
  <si>
    <t>Автомобил за нуждите на ЦОП, ЦСРИ, НЖ</t>
  </si>
  <si>
    <t>Домашен социален патронаж, гр. Дебелец - кухненско оборудване</t>
  </si>
  <si>
    <t>Дом за стари хора "Венета Ботева" - професионални сушилня и пералня</t>
  </si>
  <si>
    <t xml:space="preserve">Дом за стари хора, В. Търново - професионална електрическа фурна </t>
  </si>
  <si>
    <t>Придобиване на стопански инвентар по проект "Изграждане на комплекс от социални услуги за възрастни" по ОП „Региони в растеж“ 2014-2020г., №BG16RFOP001-5.002-0004-C01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</si>
  <si>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</si>
  <si>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Изграждане на комплекс от социални услуги за възрастни по ОП „Региони в растеж“ 2014-2020г., №BG16RFOP001-5.002-0004-C01 /код 98/</t>
  </si>
  <si>
    <t>Компютърна конфигурация за нуждите на ОП "Зелени системи"</t>
  </si>
  <si>
    <t>Кметство Дебелец - скейт съоръжения и прилежащи елементи</t>
  </si>
  <si>
    <t>Проект "Българските общини работят заедно за подобряване на качеството на атмосферния въздух" по програма LIFE на ЕС, №LIFE17 IPE/BG/000012 - LIFE IP CLEAN AIR /код 96/ - станции за мониторинг на КАВ</t>
  </si>
  <si>
    <t>Кметство Русаля - снегорин</t>
  </si>
  <si>
    <t>Стрийт фитнес площадка в квартал "К. Фичето"</t>
  </si>
  <si>
    <t>Автомобили 2 бр. пикап за нуждите на ОП "Зелени системи"</t>
  </si>
  <si>
    <t>Автомобил за нуждите на ОП "Зелени системи"</t>
  </si>
  <si>
    <t xml:space="preserve">Товарен автомобил самосвал Кметство Дебелец </t>
  </si>
  <si>
    <t>Автомобил тип самосвал за поддръжка и ремонт на елементи на техническата инфраструктура на гр.В. Търново</t>
  </si>
  <si>
    <t>Професионална метачна-миячна машина за почистване на улици вакуумна</t>
  </si>
  <si>
    <t>Стопански инвентар за нуждите на ОП "Зелени системи" - професионален алкотестер, мотоблок с фреза, прикачен инвентар, клонорез, храсторез</t>
  </si>
  <si>
    <t>Стопански инвентар за нуждите на ОП "Зелени системи" за поддръжка и ремонт на елементи на техническата инфраструктура на гр.В. Търново - фугорез, духалки, генератор за ток, трамбовка, къртач, моторен ъглошлайф</t>
  </si>
  <si>
    <t xml:space="preserve">Кметство Русаля - моторни трион и коса </t>
  </si>
  <si>
    <t xml:space="preserve">Кметство Момин сбор - моторна косачка </t>
  </si>
  <si>
    <t xml:space="preserve">Кметство Дичин - моторна косачка </t>
  </si>
  <si>
    <t>Кметство Арбанаси - храсторез</t>
  </si>
  <si>
    <t>Кметство Присово - професионална кастрачка</t>
  </si>
  <si>
    <t>Кметство Ресен - храсторез</t>
  </si>
  <si>
    <t>Изграждане на детски площадки в междублокови пространства</t>
  </si>
  <si>
    <t>Изграждане зони за отдих в с. Ново село, ПУДООС</t>
  </si>
  <si>
    <t>Изграждане на подземна система за сметосъбиране</t>
  </si>
  <si>
    <t>Кметство Дебелец -Изграждане на площадка със скейт съоръжения и прилежащи елементи</t>
  </si>
  <si>
    <t>Изграждане на осветление и инфраструктура  - пътеки за отдих в парково пространство, местност Папик - проект "Зелен простор за всички сетива", гр. Дебелец, ПУДООС</t>
  </si>
  <si>
    <t>Проектиране на парково пространство на терен представляващ УПИ ХІ -3779, кв.237 по плана на гр. В. Търново</t>
  </si>
  <si>
    <t>Изграждане на тротоар на ул. "Лазурна"</t>
  </si>
  <si>
    <t>Доизграждане на ул. "Стоян Михайловски", кв. „Картала“ ОК 2577-ОК 2576- ОК2567- ОК2564 - ОК2565 -ОК2805-ПМС 315/19.12.2018</t>
  </si>
  <si>
    <t>Изграждане на ул. "Васил Априлов", кв. „Картала“-ПМС 315/19.12.2018</t>
  </si>
  <si>
    <t>Изграждане на ул. "Камен Зидаров", ОК 2521 - ОК 259 и ул. „Петко Тодоров“ ОК 259-ОК2452, кв. „Картала“-ПМС 315/19.12.2018</t>
  </si>
  <si>
    <t>Изграждане на ул. "Александър Бурмов", кв. „Картала“ , ОК2364-ОК2518-ПМС 315/19.12.2018</t>
  </si>
  <si>
    <t>Изграждане на ул." Драган Цончев", кв. Зона В, ОК8504- ОК8602-ОК8607-ОК8613-ПМС 315/19.12.2018</t>
  </si>
  <si>
    <t>Изграждане на ул. "Димитър Рашев" и улици около новострояща се ДГ "Шареният замък" в кв. "Зона В"</t>
  </si>
  <si>
    <t>Доизграждане на ул. "Димитър Благоев" в участъка (ОК 8153 - ОК 8157 - ОК 8154) и връзката и с новия участък на ул. "Ил.Драгостинов" в кв. "Бузлуджа"</t>
  </si>
  <si>
    <t>Доизграждане на ул. "Иван Хаджидимитров" в участъка (ОК 2081 - ОК 8361 - ОК 8354 - ОК 8157) и връзката и с ул. "Д.Благоев" в кв. "Бузлуджа"</t>
  </si>
  <si>
    <t>Изграждане на ул. "Народни Будители" в участъка (ОК 8752 - ОК 8134 - ОК 8166 ) и връзката и с новия участък на ул. "Ил.Драгостинов" в кв. 608, кв. "Бузлуджа"</t>
  </si>
  <si>
    <t>Изграждане на ул. "Народни Будители" в участъка (ОК 8122 - ОК 8120 - ОК 8121 - ОК 8119) между кв. 607, кв. 611, кв.612 и кв. 602 кв."Бузлуджа" - Лидл - механа Петлето)</t>
  </si>
  <si>
    <t>Изграждане на ул. "Димитър Рашев" (ОК 8161 - ОК 8160 - ОК 8478 - ОК 8479 - ОК 8481) в района на Ел,подстанция и връзката и с новия участък на ул. "Ил.Драгостнов" в кв. "Зона В"</t>
  </si>
  <si>
    <t>Изграждане на ул. "Козлодуй" в участъка (ОК 86004 - ОК 8827 - ОК 8821 - ОК 584 - ОК 571В)</t>
  </si>
  <si>
    <t xml:space="preserve">Проектиране на сграда за Старо военно училище 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</si>
  <si>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</si>
  <si>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Проектиране и изграждане на място за отдих на разклон между ул. "Сливница" - ул. "Черноризец Храбър" - ул. "Йоасаф Бдински" , Квартал "Света Гора"</t>
  </si>
  <si>
    <t>Проектиране на водопровод и канализация гр. Дебелец</t>
  </si>
  <si>
    <t>Благоустройство на парково пространство със санитарен възел в с. Арбанаси</t>
  </si>
  <si>
    <t>Изграждане на отводнителен окоп в началото на   с. Беляковец</t>
  </si>
  <si>
    <t xml:space="preserve">Оформяне терен за паркоместа между ул."арх. Петър Матанов" и ул."Симеон Велики") - ул."Полтава" </t>
  </si>
  <si>
    <t>Изграждане на подземна тръбна мрежа, гр. В. Търново</t>
  </si>
  <si>
    <t>Изграждане на  нова Улична осветителна мрежа</t>
  </si>
  <si>
    <t>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2014 -2020 - недопустими,но необходимоприсъщи задължителни дейности</t>
  </si>
  <si>
    <t>Изграждане на подземни съоръжения за сметосъбиране в Стара градска част</t>
  </si>
  <si>
    <t>Проектиране и изграждане  на Площадка за безвъзмездно предаване на разделно събрани отпадъци от домакинствата включително едрогабаритни</t>
  </si>
  <si>
    <t>Парк за отдих в централната част на с. Шемшево, Програма "Инициативи на местните общности" - 15 978 лв. и 30% от продажби на общинско имущество - 13 320 лв.</t>
  </si>
  <si>
    <t>Изместване на кабелни линии и трафопост "Ледена пързалка", гр. В. Търново</t>
  </si>
  <si>
    <t>Изграждане на улици в кв. "7", УПИ ІІ, В и кв. "14", УПИ 1 и направа на канализация за повърхностни води за отводняване на уличната настилка и асфалтиране,  ПМС 260/24.11.2017 година</t>
  </si>
  <si>
    <t>ОП "Зелени системи - контейнери /офис и складов/ за нуждите на звеното за поддръжка и ремонт на елементи на техническата инфраструктура на гр.В. Търново</t>
  </si>
  <si>
    <t>Компютри и хардуер за нуждите на ОП "Общинско кабелно радио"</t>
  </si>
  <si>
    <t>Хардуерно осигуряване на електронен достъп до музейни обекти - по бюджета на Общината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</si>
  <si>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</si>
  <si>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</si>
  <si>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и хардуер за нуждите на РИМ В. Търново</t>
  </si>
  <si>
    <t>Компютри и хардуер за нуждите на ХГ В. Търново</t>
  </si>
  <si>
    <t>Компютри и хардуер за нуждите на РБ "П.Р.Славейков"</t>
  </si>
  <si>
    <t>Придобиване на нежилищна сграда в кв. "Света гора"</t>
  </si>
  <si>
    <t>Покривна преместваема конструкция на сцена на Летен театър</t>
  </si>
  <si>
    <t>Климатик за нуждите на РБ "П.Р.Славейков"</t>
  </si>
  <si>
    <t xml:space="preserve">Изложбени зали "Рафаел Михайлов" - подемници за осигуряване на достъпна архитектурна среда 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</si>
  <si>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</si>
  <si>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</si>
  <si>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</si>
  <si>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ОП "Спортни имоти и прояви" - оборудване баскетболна зала</t>
  </si>
  <si>
    <t>Автомобил за нуждите на ОП "Спортни имоти и прояви"</t>
  </si>
  <si>
    <t>Автомобил за нуждите на ОП "Общинско кабелно радио"</t>
  </si>
  <si>
    <t>ОП "Спортни имоти и прояви" - снегорин</t>
  </si>
  <si>
    <t>ОП "Спортни имоти и прояви" - аератор</t>
  </si>
  <si>
    <t>Машина за почистване, освежаване и обезпаразитяване на книги за нуждите  на РБ "П.Р.Славейков"</t>
  </si>
  <si>
    <t>Фотоапарат за нуждите на РИМ В. Търново</t>
  </si>
  <si>
    <t>ДКС "В. Левски" - високоподемна ръчна количка</t>
  </si>
  <si>
    <t>Изграждане на спортно игрище, с. Никюп - Програма "Инициативи на местните общности" 2019</t>
  </si>
  <si>
    <t>Изграждане на площадка за монтаж на стрийт фитнес съоръжения на стадион Дебелец</t>
  </si>
  <si>
    <t>Изграждане на рампа БИЦ "Славейче" при РБ "П.Р.Славейков"</t>
  </si>
  <si>
    <t>Изграждане на подход за инвалиди към музей Учредително събрание - РИМ ВТ - Дофинансиране</t>
  </si>
  <si>
    <t>Изграждане на трибуни на футболен терен в района на Спортно училище "Г.Живков", ж.к. "Бузлуджа</t>
  </si>
  <si>
    <t>Компютърна конфигурация за нуждите на Младежки дом</t>
  </si>
  <si>
    <t>Компютърни конфигурации за нуждите на ОП "Реклама"</t>
  </si>
  <si>
    <t>Кметство Дебелец - автобусна спирка</t>
  </si>
  <si>
    <t>Климатик за нуждите на Общинска агенция по приватизация</t>
  </si>
  <si>
    <t>Разширение на приют за бездомни животни</t>
  </si>
  <si>
    <t>Интегриран градски транспорт на гр. Велико Търново по ОП „Региони в растеж“ 2014-2020г. BG16RFOP001-1.009-0005-C01 /код 98/ - изграждане на буферен паркинг "Сержантско училище"</t>
  </si>
  <si>
    <t>5300  НМДА  Придобиване на НМДА</t>
  </si>
  <si>
    <t>5301- Придобиване на програмни продукти и лицензи за програмни продукти</t>
  </si>
  <si>
    <t>Община Велико Търново - мобилна версия и редизайн на официалния Интернет портал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</si>
  <si>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</si>
  <si>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Информационна система за управление на търговски обекти, временна търговия, преместваеми съоръжения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</si>
  <si>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</si>
  <si>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</si>
  <si>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Разработване и внедряване на Система за управление на обществените поръчки</t>
  </si>
  <si>
    <t>5309- Придобиване  на  други  Н М Д А</t>
  </si>
  <si>
    <t>СУ "ЕМ Станев" - софтуер</t>
  </si>
  <si>
    <t>ОУ "Бачо Киро" - ПП "Иновативно училище"</t>
  </si>
  <si>
    <t>ПП "Човешки ресурси" за нуждите на Дирекция СДЗ и ЦСУ</t>
  </si>
  <si>
    <t>Софтуер за визуализация на Общ устройствен план на Община Велико Търново</t>
  </si>
  <si>
    <t>Проект "FairDeal – мрежа от платформи за бърза доставка на уникални занаятчийски и фермерски продукти", №ROBG204  /код 96/</t>
  </si>
  <si>
    <t>Генерален план за организация на движението на гр. В. Търново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</si>
  <si>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</si>
  <si>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</si>
  <si>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имоти частна собственост за разширение на Гробищни паркове на територията на Община Велико Търново</t>
  </si>
  <si>
    <t>Отчуждаване на части от имоти частна собственост за разширение на Депо за строителни отпадъци</t>
  </si>
  <si>
    <t>5500 Капиталови трансфери</t>
  </si>
  <si>
    <t>5501 Капиталови трансфери за нефинансови предприятия</t>
  </si>
  <si>
    <t>Закупуване и доставка на електробуси по проект "Интегриран градски транспорт на гр. Велико Търново по ОП „Региони в растеж“ 2014-2020г. BG16RFOP001-1.009-0005-C01 /код 98/</t>
  </si>
  <si>
    <t>инж. Даниел Панов</t>
  </si>
  <si>
    <t>Кмет на Община Велико Търново</t>
  </si>
  <si>
    <t>Съгласувал,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</si>
  <si>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</si>
  <si>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</si>
  <si>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</si>
  <si>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</si>
  <si>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Изготвил,</t>
  </si>
  <si>
    <t>П. Христов</t>
  </si>
  <si>
    <t>Началник отдел ИТО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</si>
</sst>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1" applyFont="1" applyFill="1" applyAlignment="1">
      <alignment wrapText="1"/>
    </xf>
    <xf numFmtId="0" fontId="2" fillId="0" borderId="0" xfId="1" applyFont="1" applyFill="1"/>
    <xf numFmtId="0" fontId="3" fillId="0" borderId="0" xfId="1" applyFont="1" applyFill="1" applyAlignment="1">
      <alignment horizontal="right"/>
    </xf>
    <xf numFmtId="3" fontId="2" fillId="0" borderId="0" xfId="1" applyNumberFormat="1" applyFont="1" applyFill="1"/>
    <xf numFmtId="0" fontId="3" fillId="0" borderId="0" xfId="1" applyFont="1" applyFill="1"/>
    <xf numFmtId="0" fontId="3" fillId="0" borderId="0" xfId="1" applyFont="1" applyFill="1" applyAlignment="1">
      <alignment horizontal="centerContinuous"/>
    </xf>
    <xf numFmtId="0" fontId="3" fillId="0" borderId="0" xfId="1" applyNumberFormat="1" applyFont="1" applyFill="1" applyAlignment="1">
      <alignment horizontal="centerContinuous"/>
    </xf>
    <xf numFmtId="0" fontId="3" fillId="0" borderId="0" xfId="1" applyNumberFormat="1" applyFont="1" applyFill="1" applyAlignment="1"/>
    <xf numFmtId="0" fontId="3" fillId="0" borderId="0" xfId="1" applyFont="1" applyFill="1" applyAlignment="1"/>
    <xf numFmtId="0" fontId="3" fillId="0" borderId="1" xfId="2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wrapText="1"/>
    </xf>
    <xf numFmtId="0" fontId="3" fillId="0" borderId="3" xfId="2" applyFont="1" applyFill="1" applyBorder="1" applyAlignment="1">
      <alignment horizontal="center" vertical="center"/>
    </xf>
    <xf numFmtId="14" fontId="3" fillId="0" borderId="2" xfId="1" applyNumberFormat="1" applyFont="1" applyFill="1" applyBorder="1" applyAlignment="1">
      <alignment horizontal="center" wrapText="1"/>
    </xf>
    <xf numFmtId="3" fontId="4" fillId="0" borderId="3" xfId="3" applyNumberFormat="1" applyFont="1" applyFill="1" applyBorder="1" applyAlignment="1">
      <alignment horizontal="center" wrapText="1"/>
    </xf>
    <xf numFmtId="3" fontId="4" fillId="0" borderId="3" xfId="3" applyNumberFormat="1" applyFont="1" applyFill="1" applyBorder="1"/>
    <xf numFmtId="0" fontId="4" fillId="0" borderId="0" xfId="1" applyFont="1" applyFill="1" applyBorder="1"/>
    <xf numFmtId="0" fontId="3" fillId="0" borderId="2" xfId="3" applyFont="1" applyFill="1" applyBorder="1" applyAlignment="1">
      <alignment wrapText="1"/>
    </xf>
    <xf numFmtId="3" fontId="3" fillId="0" borderId="2" xfId="3" applyNumberFormat="1" applyFont="1" applyFill="1" applyBorder="1"/>
    <xf numFmtId="0" fontId="3" fillId="0" borderId="0" xfId="1" applyFont="1" applyFill="1" applyBorder="1"/>
    <xf numFmtId="0" fontId="2" fillId="0" borderId="0" xfId="1" applyFont="1" applyFill="1" applyBorder="1"/>
    <xf numFmtId="3" fontId="3" fillId="0" borderId="2" xfId="3" applyNumberFormat="1" applyFont="1" applyFill="1" applyBorder="1" applyAlignment="1"/>
    <xf numFmtId="0" fontId="2" fillId="0" borderId="2" xfId="1" applyFont="1" applyFill="1" applyBorder="1" applyAlignment="1">
      <alignment wrapText="1"/>
    </xf>
    <xf numFmtId="3" fontId="2" fillId="0" borderId="2" xfId="3" applyNumberFormat="1" applyFont="1" applyFill="1" applyBorder="1" applyAlignment="1"/>
    <xf numFmtId="0" fontId="3" fillId="0" borderId="2" xfId="1" applyFont="1" applyFill="1" applyBorder="1" applyAlignment="1">
      <alignment wrapText="1"/>
    </xf>
    <xf numFmtId="0" fontId="2" fillId="0" borderId="2" xfId="3" applyFont="1" applyFill="1" applyBorder="1" applyAlignment="1">
      <alignment wrapText="1"/>
    </xf>
    <xf numFmtId="3" fontId="2" fillId="0" borderId="2" xfId="3" applyNumberFormat="1" applyFont="1" applyFill="1" applyBorder="1"/>
    <xf numFmtId="0" fontId="2" fillId="0" borderId="2" xfId="2" applyFont="1" applyFill="1" applyBorder="1" applyAlignment="1">
      <alignment horizontal="left" wrapText="1"/>
    </xf>
    <xf numFmtId="0" fontId="2" fillId="0" borderId="2" xfId="2" applyFont="1" applyFill="1" applyBorder="1" applyAlignment="1">
      <alignment wrapText="1"/>
    </xf>
    <xf numFmtId="3" fontId="2" fillId="0" borderId="2" xfId="3" applyNumberFormat="1" applyFont="1" applyFill="1" applyBorder="1" applyAlignment="1">
      <alignment horizontal="right"/>
    </xf>
    <xf numFmtId="0" fontId="2" fillId="0" borderId="2" xfId="4" applyFont="1" applyFill="1" applyBorder="1" applyAlignment="1">
      <alignment vertical="center" wrapText="1"/>
    </xf>
    <xf numFmtId="0" fontId="2" fillId="0" borderId="4" xfId="4" applyFont="1" applyFill="1" applyBorder="1" applyAlignment="1">
      <alignment vertical="center" wrapText="1"/>
    </xf>
    <xf numFmtId="0" fontId="3" fillId="0" borderId="2" xfId="3" applyFont="1" applyFill="1" applyBorder="1" applyAlignment="1">
      <alignment horizontal="left" wrapText="1"/>
    </xf>
    <xf numFmtId="0" fontId="2" fillId="0" borderId="2" xfId="1" applyFont="1" applyFill="1" applyBorder="1"/>
    <xf numFmtId="0" fontId="2" fillId="0" borderId="2" xfId="0" applyFont="1" applyFill="1" applyBorder="1" applyAlignment="1">
      <alignment wrapText="1"/>
    </xf>
    <xf numFmtId="0" fontId="2" fillId="0" borderId="2" xfId="3" applyFont="1" applyFill="1" applyBorder="1" applyAlignment="1">
      <alignment horizontal="left" wrapText="1"/>
    </xf>
    <xf numFmtId="0" fontId="6" fillId="0" borderId="2" xfId="3" applyFont="1" applyFill="1" applyBorder="1" applyAlignment="1">
      <alignment wrapText="1"/>
    </xf>
    <xf numFmtId="0" fontId="6" fillId="0" borderId="2" xfId="2" applyFont="1" applyFill="1" applyBorder="1" applyAlignment="1">
      <alignment horizontal="left" wrapText="1"/>
    </xf>
    <xf numFmtId="3" fontId="6" fillId="0" borderId="2" xfId="3" applyNumberFormat="1" applyFont="1" applyFill="1" applyBorder="1" applyAlignment="1">
      <alignment horizontal="right"/>
    </xf>
    <xf numFmtId="0" fontId="6" fillId="0" borderId="0" xfId="1" applyFont="1" applyFill="1" applyBorder="1"/>
    <xf numFmtId="3" fontId="2" fillId="0" borderId="2" xfId="0" applyNumberFormat="1" applyFont="1" applyFill="1" applyBorder="1"/>
    <xf numFmtId="3" fontId="4" fillId="0" borderId="2" xfId="3" applyNumberFormat="1" applyFont="1" applyFill="1" applyBorder="1"/>
    <xf numFmtId="0" fontId="3" fillId="0" borderId="2" xfId="2" applyFont="1" applyFill="1" applyBorder="1" applyAlignment="1">
      <alignment wrapText="1"/>
    </xf>
    <xf numFmtId="0" fontId="2" fillId="0" borderId="0" xfId="4" applyFont="1" applyFill="1" applyBorder="1" applyAlignment="1">
      <alignment vertical="center" wrapText="1"/>
    </xf>
    <xf numFmtId="3" fontId="2" fillId="0" borderId="0" xfId="3" applyNumberFormat="1" applyFont="1" applyFill="1" applyBorder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8" fillId="0" borderId="0" xfId="0" applyFont="1" applyFill="1"/>
    <xf numFmtId="0" fontId="2" fillId="0" borderId="0" xfId="5" applyFont="1" applyFill="1" applyAlignment="1"/>
    <xf numFmtId="0" fontId="3" fillId="0" borderId="0" xfId="5" applyFont="1" applyFill="1" applyAlignment="1"/>
    <xf numFmtId="0" fontId="8" fillId="0" borderId="0" xfId="5" applyFont="1" applyFill="1" applyAlignment="1"/>
    <xf numFmtId="0" fontId="3" fillId="0" borderId="0" xfId="5" applyFont="1" applyFill="1" applyBorder="1" applyAlignment="1"/>
    <xf numFmtId="0" fontId="8" fillId="0" borderId="0" xfId="1" applyFont="1" applyFill="1" applyAlignment="1"/>
    <xf numFmtId="0" fontId="8" fillId="0" borderId="0" xfId="1" applyFont="1" applyFill="1"/>
    <xf numFmtId="0" fontId="8" fillId="0" borderId="0" xfId="1" applyFont="1" applyFill="1" applyBorder="1"/>
    <xf numFmtId="0" fontId="2" fillId="0" borderId="0" xfId="1" applyFont="1" applyFill="1" applyAlignment="1"/>
    <xf numFmtId="0" fontId="2" fillId="0" borderId="0" xfId="6" applyFont="1" applyFill="1" applyAlignment="1"/>
    <xf numFmtId="0" fontId="2" fillId="0" borderId="0" xfId="6" applyFont="1" applyFill="1"/>
    <xf numFmtId="0" fontId="2" fillId="0" borderId="0" xfId="5" applyFont="1" applyFill="1"/>
    <xf numFmtId="3" fontId="6" fillId="0" borderId="2" xfId="3" applyNumberFormat="1" applyFont="1" applyFill="1" applyBorder="1"/>
    <xf numFmtId="3" fontId="7" fillId="0" borderId="2" xfId="3" applyNumberFormat="1" applyFont="1" applyFill="1" applyBorder="1"/>
    <xf numFmtId="0" fontId="7" fillId="0" borderId="0" xfId="1" applyFont="1" applyFill="1" applyBorder="1"/>
    <xf numFmtId="0" fontId="6" fillId="0" borderId="2" xfId="3" applyFont="1" applyFill="1" applyBorder="1" applyAlignment="1">
      <alignment horizontal="left" wrapText="1"/>
    </xf>
    <xf numFmtId="0" fontId="6" fillId="0" borderId="2" xfId="2" applyFont="1" applyFill="1" applyBorder="1" applyAlignment="1">
      <alignment wrapText="1"/>
    </xf>
  </cellXfs>
  <cellStyles count="7">
    <cellStyle name="Normal_sesiaI ot4et 2" xfId="6"/>
    <cellStyle name="Normal_Sheet1" xfId="4"/>
    <cellStyle name="Нормален" xfId="0" builtinId="0"/>
    <cellStyle name="Нормален 2" xfId="2"/>
    <cellStyle name="Нормален 3 2" xfId="5"/>
    <cellStyle name="Нормален_ИП-2011г-начална 2" xfId="1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GL490"/>
  <sheetViews>
    <sheetView tabSelected="1" zoomScale="75" zoomScaleNormal="75" workbookViewId="0">
      <pane ySplit="8" topLeftCell="A9" activePane="bottomLeft" state="frozen"/>
      <selection activeCell="G49" sqref="G49"/>
      <selection pane="bottomLeft" activeCell="G13" sqref="G13"/>
    </sheetView>
  </sheetViews>
  <sheetFormatPr defaultColWidth="15.5703125" defaultRowHeight="15.75" x14ac:dyDescent="0.25"/>
  <cols>
    <col min="1" max="1" width="74.85546875" style="1" customWidth="1"/>
    <col min="2" max="3" width="11.5703125" style="2" customWidth="1"/>
    <col min="4" max="4" width="11.28515625" style="2" customWidth="1"/>
    <col min="5" max="7" width="10.42578125" style="2" customWidth="1"/>
    <col min="8" max="10" width="16.28515625" style="2" customWidth="1"/>
    <col min="11" max="13" width="12.28515625" style="2" customWidth="1"/>
    <col min="14" max="15" width="11.140625" style="2" customWidth="1"/>
    <col min="16" max="16" width="12.42578125" style="2" customWidth="1"/>
    <col min="17" max="19" width="15" style="2" customWidth="1"/>
    <col min="20" max="21" width="12.7109375" style="2" customWidth="1"/>
    <col min="22" max="22" width="12.5703125" style="2" customWidth="1"/>
    <col min="23" max="25" width="12.7109375" style="2" customWidth="1"/>
    <col min="26" max="26" width="11.42578125" style="2" customWidth="1"/>
    <col min="27" max="27" width="11.5703125" style="2" customWidth="1"/>
    <col min="28" max="28" width="11.85546875" style="2" customWidth="1"/>
    <col min="29" max="174" width="29.28515625" style="2" customWidth="1"/>
    <col min="175" max="175" width="42.42578125" style="2" customWidth="1"/>
    <col min="176" max="178" width="12.42578125" style="2" customWidth="1"/>
    <col min="179" max="181" width="10.85546875" style="2" customWidth="1"/>
    <col min="182" max="184" width="14.5703125" style="2" bestFit="1" customWidth="1"/>
    <col min="185" max="187" width="11" style="2" customWidth="1"/>
    <col min="188" max="190" width="14.5703125" style="2" customWidth="1"/>
    <col min="191" max="193" width="15.28515625" style="2" customWidth="1"/>
    <col min="194" max="194" width="15.5703125" style="2"/>
    <col min="195" max="195" width="44.5703125" style="2" customWidth="1"/>
    <col min="196" max="196" width="13.85546875" style="2" customWidth="1"/>
    <col min="197" max="197" width="10.85546875" style="2" customWidth="1"/>
    <col min="198" max="198" width="14.5703125" style="2" customWidth="1"/>
    <col min="199" max="199" width="11" style="2" customWidth="1"/>
    <col min="200" max="200" width="10.85546875" style="2" customWidth="1"/>
    <col min="201" max="201" width="14.5703125" style="2" customWidth="1"/>
    <col min="202" max="203" width="15.5703125" style="2" customWidth="1"/>
    <col min="204" max="204" width="17.7109375" style="2" customWidth="1"/>
    <col min="205" max="430" width="29.28515625" style="2" customWidth="1"/>
    <col min="431" max="431" width="42.42578125" style="2" customWidth="1"/>
    <col min="432" max="434" width="12.42578125" style="2" customWidth="1"/>
    <col min="435" max="437" width="10.85546875" style="2" customWidth="1"/>
    <col min="438" max="440" width="14.5703125" style="2" bestFit="1" customWidth="1"/>
    <col min="441" max="443" width="11" style="2" customWidth="1"/>
    <col min="444" max="446" width="14.5703125" style="2" customWidth="1"/>
    <col min="447" max="449" width="15.28515625" style="2" customWidth="1"/>
    <col min="450" max="450" width="15.5703125" style="2"/>
    <col min="451" max="451" width="44.5703125" style="2" customWidth="1"/>
    <col min="452" max="452" width="13.85546875" style="2" customWidth="1"/>
    <col min="453" max="453" width="10.85546875" style="2" customWidth="1"/>
    <col min="454" max="454" width="14.5703125" style="2" customWidth="1"/>
    <col min="455" max="455" width="11" style="2" customWidth="1"/>
    <col min="456" max="456" width="10.85546875" style="2" customWidth="1"/>
    <col min="457" max="457" width="14.5703125" style="2" customWidth="1"/>
    <col min="458" max="459" width="15.5703125" style="2" customWidth="1"/>
    <col min="460" max="460" width="17.7109375" style="2" customWidth="1"/>
    <col min="461" max="686" width="29.28515625" style="2" customWidth="1"/>
    <col min="687" max="687" width="42.42578125" style="2" customWidth="1"/>
    <col min="688" max="690" width="12.42578125" style="2" customWidth="1"/>
    <col min="691" max="693" width="10.85546875" style="2" customWidth="1"/>
    <col min="694" max="696" width="14.5703125" style="2" bestFit="1" customWidth="1"/>
    <col min="697" max="699" width="11" style="2" customWidth="1"/>
    <col min="700" max="702" width="14.5703125" style="2" customWidth="1"/>
    <col min="703" max="705" width="15.28515625" style="2" customWidth="1"/>
    <col min="706" max="706" width="15.5703125" style="2"/>
    <col min="707" max="707" width="44.5703125" style="2" customWidth="1"/>
    <col min="708" max="708" width="13.85546875" style="2" customWidth="1"/>
    <col min="709" max="709" width="10.85546875" style="2" customWidth="1"/>
    <col min="710" max="710" width="14.5703125" style="2" customWidth="1"/>
    <col min="711" max="711" width="11" style="2" customWidth="1"/>
    <col min="712" max="712" width="10.85546875" style="2" customWidth="1"/>
    <col min="713" max="713" width="14.5703125" style="2" customWidth="1"/>
    <col min="714" max="715" width="15.5703125" style="2" customWidth="1"/>
    <col min="716" max="716" width="17.7109375" style="2" customWidth="1"/>
    <col min="717" max="942" width="29.28515625" style="2" customWidth="1"/>
    <col min="943" max="943" width="42.42578125" style="2" customWidth="1"/>
    <col min="944" max="946" width="12.42578125" style="2" customWidth="1"/>
    <col min="947" max="949" width="10.85546875" style="2" customWidth="1"/>
    <col min="950" max="952" width="14.5703125" style="2" bestFit="1" customWidth="1"/>
    <col min="953" max="955" width="11" style="2" customWidth="1"/>
    <col min="956" max="958" width="14.5703125" style="2" customWidth="1"/>
    <col min="959" max="961" width="15.28515625" style="2" customWidth="1"/>
    <col min="962" max="962" width="15.5703125" style="2"/>
    <col min="963" max="963" width="44.5703125" style="2" customWidth="1"/>
    <col min="964" max="964" width="13.85546875" style="2" customWidth="1"/>
    <col min="965" max="965" width="10.85546875" style="2" customWidth="1"/>
    <col min="966" max="966" width="14.5703125" style="2" customWidth="1"/>
    <col min="967" max="967" width="11" style="2" customWidth="1"/>
    <col min="968" max="968" width="10.85546875" style="2" customWidth="1"/>
    <col min="969" max="969" width="14.5703125" style="2" customWidth="1"/>
    <col min="970" max="971" width="15.5703125" style="2" customWidth="1"/>
    <col min="972" max="972" width="17.7109375" style="2" customWidth="1"/>
    <col min="973" max="1198" width="29.28515625" style="2" customWidth="1"/>
    <col min="1199" max="1199" width="42.42578125" style="2" customWidth="1"/>
    <col min="1200" max="1202" width="12.42578125" style="2" customWidth="1"/>
    <col min="1203" max="1205" width="10.85546875" style="2" customWidth="1"/>
    <col min="1206" max="1208" width="14.5703125" style="2" bestFit="1" customWidth="1"/>
    <col min="1209" max="1211" width="11" style="2" customWidth="1"/>
    <col min="1212" max="1214" width="14.5703125" style="2" customWidth="1"/>
    <col min="1215" max="1217" width="15.28515625" style="2" customWidth="1"/>
    <col min="1218" max="1218" width="15.5703125" style="2"/>
    <col min="1219" max="1219" width="44.5703125" style="2" customWidth="1"/>
    <col min="1220" max="1220" width="13.85546875" style="2" customWidth="1"/>
    <col min="1221" max="1221" width="10.85546875" style="2" customWidth="1"/>
    <col min="1222" max="1222" width="14.5703125" style="2" customWidth="1"/>
    <col min="1223" max="1223" width="11" style="2" customWidth="1"/>
    <col min="1224" max="1224" width="10.85546875" style="2" customWidth="1"/>
    <col min="1225" max="1225" width="14.5703125" style="2" customWidth="1"/>
    <col min="1226" max="1227" width="15.5703125" style="2" customWidth="1"/>
    <col min="1228" max="1228" width="17.7109375" style="2" customWidth="1"/>
    <col min="1229" max="1454" width="29.28515625" style="2" customWidth="1"/>
    <col min="1455" max="1455" width="42.42578125" style="2" customWidth="1"/>
    <col min="1456" max="1458" width="12.42578125" style="2" customWidth="1"/>
    <col min="1459" max="1461" width="10.85546875" style="2" customWidth="1"/>
    <col min="1462" max="1464" width="14.5703125" style="2" bestFit="1" customWidth="1"/>
    <col min="1465" max="1467" width="11" style="2" customWidth="1"/>
    <col min="1468" max="1470" width="14.5703125" style="2" customWidth="1"/>
    <col min="1471" max="1473" width="15.28515625" style="2" customWidth="1"/>
    <col min="1474" max="1474" width="15.5703125" style="2"/>
    <col min="1475" max="1475" width="44.5703125" style="2" customWidth="1"/>
    <col min="1476" max="1476" width="13.85546875" style="2" customWidth="1"/>
    <col min="1477" max="1477" width="10.85546875" style="2" customWidth="1"/>
    <col min="1478" max="1478" width="14.5703125" style="2" customWidth="1"/>
    <col min="1479" max="1479" width="11" style="2" customWidth="1"/>
    <col min="1480" max="1480" width="10.85546875" style="2" customWidth="1"/>
    <col min="1481" max="1481" width="14.5703125" style="2" customWidth="1"/>
    <col min="1482" max="1483" width="15.5703125" style="2" customWidth="1"/>
    <col min="1484" max="1484" width="17.7109375" style="2" customWidth="1"/>
    <col min="1485" max="1710" width="29.28515625" style="2" customWidth="1"/>
    <col min="1711" max="1711" width="42.42578125" style="2" customWidth="1"/>
    <col min="1712" max="1714" width="12.42578125" style="2" customWidth="1"/>
    <col min="1715" max="1717" width="10.85546875" style="2" customWidth="1"/>
    <col min="1718" max="1720" width="14.5703125" style="2" bestFit="1" customWidth="1"/>
    <col min="1721" max="1723" width="11" style="2" customWidth="1"/>
    <col min="1724" max="1726" width="14.5703125" style="2" customWidth="1"/>
    <col min="1727" max="1729" width="15.28515625" style="2" customWidth="1"/>
    <col min="1730" max="1730" width="15.5703125" style="2"/>
    <col min="1731" max="1731" width="44.5703125" style="2" customWidth="1"/>
    <col min="1732" max="1732" width="13.85546875" style="2" customWidth="1"/>
    <col min="1733" max="1733" width="10.85546875" style="2" customWidth="1"/>
    <col min="1734" max="1734" width="14.5703125" style="2" customWidth="1"/>
    <col min="1735" max="1735" width="11" style="2" customWidth="1"/>
    <col min="1736" max="1736" width="10.85546875" style="2" customWidth="1"/>
    <col min="1737" max="1737" width="14.5703125" style="2" customWidth="1"/>
    <col min="1738" max="1739" width="15.5703125" style="2" customWidth="1"/>
    <col min="1740" max="1740" width="17.7109375" style="2" customWidth="1"/>
    <col min="1741" max="1966" width="29.28515625" style="2" customWidth="1"/>
    <col min="1967" max="1967" width="42.42578125" style="2" customWidth="1"/>
    <col min="1968" max="1970" width="12.42578125" style="2" customWidth="1"/>
    <col min="1971" max="1973" width="10.85546875" style="2" customWidth="1"/>
    <col min="1974" max="1976" width="14.5703125" style="2" bestFit="1" customWidth="1"/>
    <col min="1977" max="1979" width="11" style="2" customWidth="1"/>
    <col min="1980" max="1982" width="14.5703125" style="2" customWidth="1"/>
    <col min="1983" max="1985" width="15.28515625" style="2" customWidth="1"/>
    <col min="1986" max="1986" width="15.5703125" style="2"/>
    <col min="1987" max="1987" width="44.5703125" style="2" customWidth="1"/>
    <col min="1988" max="1988" width="13.85546875" style="2" customWidth="1"/>
    <col min="1989" max="1989" width="10.85546875" style="2" customWidth="1"/>
    <col min="1990" max="1990" width="14.5703125" style="2" customWidth="1"/>
    <col min="1991" max="1991" width="11" style="2" customWidth="1"/>
    <col min="1992" max="1992" width="10.85546875" style="2" customWidth="1"/>
    <col min="1993" max="1993" width="14.5703125" style="2" customWidth="1"/>
    <col min="1994" max="1995" width="15.5703125" style="2" customWidth="1"/>
    <col min="1996" max="1996" width="17.7109375" style="2" customWidth="1"/>
    <col min="1997" max="2222" width="29.28515625" style="2" customWidth="1"/>
    <col min="2223" max="2223" width="42.42578125" style="2" customWidth="1"/>
    <col min="2224" max="2226" width="12.42578125" style="2" customWidth="1"/>
    <col min="2227" max="2229" width="10.85546875" style="2" customWidth="1"/>
    <col min="2230" max="2232" width="14.5703125" style="2" bestFit="1" customWidth="1"/>
    <col min="2233" max="2235" width="11" style="2" customWidth="1"/>
    <col min="2236" max="2238" width="14.5703125" style="2" customWidth="1"/>
    <col min="2239" max="2241" width="15.28515625" style="2" customWidth="1"/>
    <col min="2242" max="2242" width="15.5703125" style="2"/>
    <col min="2243" max="2243" width="44.5703125" style="2" customWidth="1"/>
    <col min="2244" max="2244" width="13.85546875" style="2" customWidth="1"/>
    <col min="2245" max="2245" width="10.85546875" style="2" customWidth="1"/>
    <col min="2246" max="2246" width="14.5703125" style="2" customWidth="1"/>
    <col min="2247" max="2247" width="11" style="2" customWidth="1"/>
    <col min="2248" max="2248" width="10.85546875" style="2" customWidth="1"/>
    <col min="2249" max="2249" width="14.5703125" style="2" customWidth="1"/>
    <col min="2250" max="2251" width="15.5703125" style="2" customWidth="1"/>
    <col min="2252" max="2252" width="17.7109375" style="2" customWidth="1"/>
    <col min="2253" max="2478" width="29.28515625" style="2" customWidth="1"/>
    <col min="2479" max="2479" width="42.42578125" style="2" customWidth="1"/>
    <col min="2480" max="2482" width="12.42578125" style="2" customWidth="1"/>
    <col min="2483" max="2485" width="10.85546875" style="2" customWidth="1"/>
    <col min="2486" max="2488" width="14.5703125" style="2" bestFit="1" customWidth="1"/>
    <col min="2489" max="2491" width="11" style="2" customWidth="1"/>
    <col min="2492" max="2494" width="14.5703125" style="2" customWidth="1"/>
    <col min="2495" max="2497" width="15.28515625" style="2" customWidth="1"/>
    <col min="2498" max="2498" width="15.5703125" style="2"/>
    <col min="2499" max="2499" width="44.5703125" style="2" customWidth="1"/>
    <col min="2500" max="2500" width="13.85546875" style="2" customWidth="1"/>
    <col min="2501" max="2501" width="10.85546875" style="2" customWidth="1"/>
    <col min="2502" max="2502" width="14.5703125" style="2" customWidth="1"/>
    <col min="2503" max="2503" width="11" style="2" customWidth="1"/>
    <col min="2504" max="2504" width="10.85546875" style="2" customWidth="1"/>
    <col min="2505" max="2505" width="14.5703125" style="2" customWidth="1"/>
    <col min="2506" max="2507" width="15.5703125" style="2" customWidth="1"/>
    <col min="2508" max="2508" width="17.7109375" style="2" customWidth="1"/>
    <col min="2509" max="2734" width="29.28515625" style="2" customWidth="1"/>
    <col min="2735" max="2735" width="42.42578125" style="2" customWidth="1"/>
    <col min="2736" max="2738" width="12.42578125" style="2" customWidth="1"/>
    <col min="2739" max="2741" width="10.85546875" style="2" customWidth="1"/>
    <col min="2742" max="2744" width="14.5703125" style="2" bestFit="1" customWidth="1"/>
    <col min="2745" max="2747" width="11" style="2" customWidth="1"/>
    <col min="2748" max="2750" width="14.5703125" style="2" customWidth="1"/>
    <col min="2751" max="2753" width="15.28515625" style="2" customWidth="1"/>
    <col min="2754" max="2754" width="15.5703125" style="2"/>
    <col min="2755" max="2755" width="44.5703125" style="2" customWidth="1"/>
    <col min="2756" max="2756" width="13.85546875" style="2" customWidth="1"/>
    <col min="2757" max="2757" width="10.85546875" style="2" customWidth="1"/>
    <col min="2758" max="2758" width="14.5703125" style="2" customWidth="1"/>
    <col min="2759" max="2759" width="11" style="2" customWidth="1"/>
    <col min="2760" max="2760" width="10.85546875" style="2" customWidth="1"/>
    <col min="2761" max="2761" width="14.5703125" style="2" customWidth="1"/>
    <col min="2762" max="2763" width="15.5703125" style="2" customWidth="1"/>
    <col min="2764" max="2764" width="17.7109375" style="2" customWidth="1"/>
    <col min="2765" max="2990" width="29.28515625" style="2" customWidth="1"/>
    <col min="2991" max="2991" width="42.42578125" style="2" customWidth="1"/>
    <col min="2992" max="2994" width="12.42578125" style="2" customWidth="1"/>
    <col min="2995" max="2997" width="10.85546875" style="2" customWidth="1"/>
    <col min="2998" max="3000" width="14.5703125" style="2" bestFit="1" customWidth="1"/>
    <col min="3001" max="3003" width="11" style="2" customWidth="1"/>
    <col min="3004" max="3006" width="14.5703125" style="2" customWidth="1"/>
    <col min="3007" max="3009" width="15.28515625" style="2" customWidth="1"/>
    <col min="3010" max="3010" width="15.5703125" style="2"/>
    <col min="3011" max="3011" width="44.5703125" style="2" customWidth="1"/>
    <col min="3012" max="3012" width="13.85546875" style="2" customWidth="1"/>
    <col min="3013" max="3013" width="10.85546875" style="2" customWidth="1"/>
    <col min="3014" max="3014" width="14.5703125" style="2" customWidth="1"/>
    <col min="3015" max="3015" width="11" style="2" customWidth="1"/>
    <col min="3016" max="3016" width="10.85546875" style="2" customWidth="1"/>
    <col min="3017" max="3017" width="14.5703125" style="2" customWidth="1"/>
    <col min="3018" max="3019" width="15.5703125" style="2" customWidth="1"/>
    <col min="3020" max="3020" width="17.7109375" style="2" customWidth="1"/>
    <col min="3021" max="3246" width="29.28515625" style="2" customWidth="1"/>
    <col min="3247" max="3247" width="42.42578125" style="2" customWidth="1"/>
    <col min="3248" max="3250" width="12.42578125" style="2" customWidth="1"/>
    <col min="3251" max="3253" width="10.85546875" style="2" customWidth="1"/>
    <col min="3254" max="3256" width="14.5703125" style="2" bestFit="1" customWidth="1"/>
    <col min="3257" max="3259" width="11" style="2" customWidth="1"/>
    <col min="3260" max="3262" width="14.5703125" style="2" customWidth="1"/>
    <col min="3263" max="3265" width="15.28515625" style="2" customWidth="1"/>
    <col min="3266" max="3266" width="15.5703125" style="2"/>
    <col min="3267" max="3267" width="44.5703125" style="2" customWidth="1"/>
    <col min="3268" max="3268" width="13.85546875" style="2" customWidth="1"/>
    <col min="3269" max="3269" width="10.85546875" style="2" customWidth="1"/>
    <col min="3270" max="3270" width="14.5703125" style="2" customWidth="1"/>
    <col min="3271" max="3271" width="11" style="2" customWidth="1"/>
    <col min="3272" max="3272" width="10.85546875" style="2" customWidth="1"/>
    <col min="3273" max="3273" width="14.5703125" style="2" customWidth="1"/>
    <col min="3274" max="3275" width="15.5703125" style="2" customWidth="1"/>
    <col min="3276" max="3276" width="17.7109375" style="2" customWidth="1"/>
    <col min="3277" max="3502" width="29.28515625" style="2" customWidth="1"/>
    <col min="3503" max="3503" width="42.42578125" style="2" customWidth="1"/>
    <col min="3504" max="3506" width="12.42578125" style="2" customWidth="1"/>
    <col min="3507" max="3509" width="10.85546875" style="2" customWidth="1"/>
    <col min="3510" max="3512" width="14.5703125" style="2" bestFit="1" customWidth="1"/>
    <col min="3513" max="3515" width="11" style="2" customWidth="1"/>
    <col min="3516" max="3518" width="14.5703125" style="2" customWidth="1"/>
    <col min="3519" max="3521" width="15.28515625" style="2" customWidth="1"/>
    <col min="3522" max="3522" width="15.5703125" style="2"/>
    <col min="3523" max="3523" width="44.5703125" style="2" customWidth="1"/>
    <col min="3524" max="3524" width="13.85546875" style="2" customWidth="1"/>
    <col min="3525" max="3525" width="10.85546875" style="2" customWidth="1"/>
    <col min="3526" max="3526" width="14.5703125" style="2" customWidth="1"/>
    <col min="3527" max="3527" width="11" style="2" customWidth="1"/>
    <col min="3528" max="3528" width="10.85546875" style="2" customWidth="1"/>
    <col min="3529" max="3529" width="14.5703125" style="2" customWidth="1"/>
    <col min="3530" max="3531" width="15.5703125" style="2" customWidth="1"/>
    <col min="3532" max="3532" width="17.7109375" style="2" customWidth="1"/>
    <col min="3533" max="3758" width="29.28515625" style="2" customWidth="1"/>
    <col min="3759" max="3759" width="42.42578125" style="2" customWidth="1"/>
    <col min="3760" max="3762" width="12.42578125" style="2" customWidth="1"/>
    <col min="3763" max="3765" width="10.85546875" style="2" customWidth="1"/>
    <col min="3766" max="3768" width="14.5703125" style="2" bestFit="1" customWidth="1"/>
    <col min="3769" max="3771" width="11" style="2" customWidth="1"/>
    <col min="3772" max="3774" width="14.5703125" style="2" customWidth="1"/>
    <col min="3775" max="3777" width="15.28515625" style="2" customWidth="1"/>
    <col min="3778" max="3778" width="15.5703125" style="2"/>
    <col min="3779" max="3779" width="44.5703125" style="2" customWidth="1"/>
    <col min="3780" max="3780" width="13.85546875" style="2" customWidth="1"/>
    <col min="3781" max="3781" width="10.85546875" style="2" customWidth="1"/>
    <col min="3782" max="3782" width="14.5703125" style="2" customWidth="1"/>
    <col min="3783" max="3783" width="11" style="2" customWidth="1"/>
    <col min="3784" max="3784" width="10.85546875" style="2" customWidth="1"/>
    <col min="3785" max="3785" width="14.5703125" style="2" customWidth="1"/>
    <col min="3786" max="3787" width="15.5703125" style="2" customWidth="1"/>
    <col min="3788" max="3788" width="17.7109375" style="2" customWidth="1"/>
    <col min="3789" max="4014" width="29.28515625" style="2" customWidth="1"/>
    <col min="4015" max="4015" width="42.42578125" style="2" customWidth="1"/>
    <col min="4016" max="4018" width="12.42578125" style="2" customWidth="1"/>
    <col min="4019" max="4021" width="10.85546875" style="2" customWidth="1"/>
    <col min="4022" max="4024" width="14.5703125" style="2" bestFit="1" customWidth="1"/>
    <col min="4025" max="4027" width="11" style="2" customWidth="1"/>
    <col min="4028" max="4030" width="14.5703125" style="2" customWidth="1"/>
    <col min="4031" max="4033" width="15.28515625" style="2" customWidth="1"/>
    <col min="4034" max="4034" width="15.5703125" style="2"/>
    <col min="4035" max="4035" width="44.5703125" style="2" customWidth="1"/>
    <col min="4036" max="4036" width="13.85546875" style="2" customWidth="1"/>
    <col min="4037" max="4037" width="10.85546875" style="2" customWidth="1"/>
    <col min="4038" max="4038" width="14.5703125" style="2" customWidth="1"/>
    <col min="4039" max="4039" width="11" style="2" customWidth="1"/>
    <col min="4040" max="4040" width="10.85546875" style="2" customWidth="1"/>
    <col min="4041" max="4041" width="14.5703125" style="2" customWidth="1"/>
    <col min="4042" max="4043" width="15.5703125" style="2" customWidth="1"/>
    <col min="4044" max="4044" width="17.7109375" style="2" customWidth="1"/>
    <col min="4045" max="4270" width="29.28515625" style="2" customWidth="1"/>
    <col min="4271" max="4271" width="42.42578125" style="2" customWidth="1"/>
    <col min="4272" max="4274" width="12.42578125" style="2" customWidth="1"/>
    <col min="4275" max="4277" width="10.85546875" style="2" customWidth="1"/>
    <col min="4278" max="4280" width="14.5703125" style="2" bestFit="1" customWidth="1"/>
    <col min="4281" max="4283" width="11" style="2" customWidth="1"/>
    <col min="4284" max="4286" width="14.5703125" style="2" customWidth="1"/>
    <col min="4287" max="4289" width="15.28515625" style="2" customWidth="1"/>
    <col min="4290" max="4290" width="15.5703125" style="2"/>
    <col min="4291" max="4291" width="44.5703125" style="2" customWidth="1"/>
    <col min="4292" max="4292" width="13.85546875" style="2" customWidth="1"/>
    <col min="4293" max="4293" width="10.85546875" style="2" customWidth="1"/>
    <col min="4294" max="4294" width="14.5703125" style="2" customWidth="1"/>
    <col min="4295" max="4295" width="11" style="2" customWidth="1"/>
    <col min="4296" max="4296" width="10.85546875" style="2" customWidth="1"/>
    <col min="4297" max="4297" width="14.5703125" style="2" customWidth="1"/>
    <col min="4298" max="4299" width="15.5703125" style="2" customWidth="1"/>
    <col min="4300" max="4300" width="17.7109375" style="2" customWidth="1"/>
    <col min="4301" max="4526" width="29.28515625" style="2" customWidth="1"/>
    <col min="4527" max="4527" width="42.42578125" style="2" customWidth="1"/>
    <col min="4528" max="4530" width="12.42578125" style="2" customWidth="1"/>
    <col min="4531" max="4533" width="10.85546875" style="2" customWidth="1"/>
    <col min="4534" max="4536" width="14.5703125" style="2" bestFit="1" customWidth="1"/>
    <col min="4537" max="4539" width="11" style="2" customWidth="1"/>
    <col min="4540" max="4542" width="14.5703125" style="2" customWidth="1"/>
    <col min="4543" max="4545" width="15.28515625" style="2" customWidth="1"/>
    <col min="4546" max="4546" width="15.5703125" style="2"/>
    <col min="4547" max="4547" width="44.5703125" style="2" customWidth="1"/>
    <col min="4548" max="4548" width="13.85546875" style="2" customWidth="1"/>
    <col min="4549" max="4549" width="10.85546875" style="2" customWidth="1"/>
    <col min="4550" max="4550" width="14.5703125" style="2" customWidth="1"/>
    <col min="4551" max="4551" width="11" style="2" customWidth="1"/>
    <col min="4552" max="4552" width="10.85546875" style="2" customWidth="1"/>
    <col min="4553" max="4553" width="14.5703125" style="2" customWidth="1"/>
    <col min="4554" max="4555" width="15.5703125" style="2" customWidth="1"/>
    <col min="4556" max="4556" width="17.7109375" style="2" customWidth="1"/>
    <col min="4557" max="4782" width="29.28515625" style="2" customWidth="1"/>
    <col min="4783" max="4783" width="42.42578125" style="2" customWidth="1"/>
    <col min="4784" max="4786" width="12.42578125" style="2" customWidth="1"/>
    <col min="4787" max="4789" width="10.85546875" style="2" customWidth="1"/>
    <col min="4790" max="4792" width="14.5703125" style="2" bestFit="1" customWidth="1"/>
    <col min="4793" max="4795" width="11" style="2" customWidth="1"/>
    <col min="4796" max="4798" width="14.5703125" style="2" customWidth="1"/>
    <col min="4799" max="4801" width="15.28515625" style="2" customWidth="1"/>
    <col min="4802" max="4802" width="15.5703125" style="2"/>
    <col min="4803" max="4803" width="44.5703125" style="2" customWidth="1"/>
    <col min="4804" max="4804" width="13.85546875" style="2" customWidth="1"/>
    <col min="4805" max="4805" width="10.85546875" style="2" customWidth="1"/>
    <col min="4806" max="4806" width="14.5703125" style="2" customWidth="1"/>
    <col min="4807" max="4807" width="11" style="2" customWidth="1"/>
    <col min="4808" max="4808" width="10.85546875" style="2" customWidth="1"/>
    <col min="4809" max="4809" width="14.5703125" style="2" customWidth="1"/>
    <col min="4810" max="4811" width="15.5703125" style="2" customWidth="1"/>
    <col min="4812" max="4812" width="17.7109375" style="2" customWidth="1"/>
    <col min="4813" max="5038" width="29.28515625" style="2" customWidth="1"/>
    <col min="5039" max="5039" width="42.42578125" style="2" customWidth="1"/>
    <col min="5040" max="5042" width="12.42578125" style="2" customWidth="1"/>
    <col min="5043" max="5045" width="10.85546875" style="2" customWidth="1"/>
    <col min="5046" max="5048" width="14.5703125" style="2" bestFit="1" customWidth="1"/>
    <col min="5049" max="5051" width="11" style="2" customWidth="1"/>
    <col min="5052" max="5054" width="14.5703125" style="2" customWidth="1"/>
    <col min="5055" max="5057" width="15.28515625" style="2" customWidth="1"/>
    <col min="5058" max="5058" width="15.5703125" style="2"/>
    <col min="5059" max="5059" width="44.5703125" style="2" customWidth="1"/>
    <col min="5060" max="5060" width="13.85546875" style="2" customWidth="1"/>
    <col min="5061" max="5061" width="10.85546875" style="2" customWidth="1"/>
    <col min="5062" max="5062" width="14.5703125" style="2" customWidth="1"/>
    <col min="5063" max="5063" width="11" style="2" customWidth="1"/>
    <col min="5064" max="5064" width="10.85546875" style="2" customWidth="1"/>
    <col min="5065" max="5065" width="14.5703125" style="2" customWidth="1"/>
    <col min="5066" max="5067" width="15.5703125" style="2" customWidth="1"/>
    <col min="5068" max="5068" width="17.7109375" style="2" customWidth="1"/>
    <col min="5069" max="5294" width="29.28515625" style="2" customWidth="1"/>
    <col min="5295" max="5295" width="42.42578125" style="2" customWidth="1"/>
    <col min="5296" max="5298" width="12.42578125" style="2" customWidth="1"/>
    <col min="5299" max="5301" width="10.85546875" style="2" customWidth="1"/>
    <col min="5302" max="5304" width="14.5703125" style="2" bestFit="1" customWidth="1"/>
    <col min="5305" max="5307" width="11" style="2" customWidth="1"/>
    <col min="5308" max="5310" width="14.5703125" style="2" customWidth="1"/>
    <col min="5311" max="5313" width="15.28515625" style="2" customWidth="1"/>
    <col min="5314" max="5314" width="15.5703125" style="2"/>
    <col min="5315" max="5315" width="44.5703125" style="2" customWidth="1"/>
    <col min="5316" max="5316" width="13.85546875" style="2" customWidth="1"/>
    <col min="5317" max="5317" width="10.85546875" style="2" customWidth="1"/>
    <col min="5318" max="5318" width="14.5703125" style="2" customWidth="1"/>
    <col min="5319" max="5319" width="11" style="2" customWidth="1"/>
    <col min="5320" max="5320" width="10.85546875" style="2" customWidth="1"/>
    <col min="5321" max="5321" width="14.5703125" style="2" customWidth="1"/>
    <col min="5322" max="5323" width="15.5703125" style="2" customWidth="1"/>
    <col min="5324" max="5324" width="17.7109375" style="2" customWidth="1"/>
    <col min="5325" max="5550" width="29.28515625" style="2" customWidth="1"/>
    <col min="5551" max="5551" width="42.42578125" style="2" customWidth="1"/>
    <col min="5552" max="5554" width="12.42578125" style="2" customWidth="1"/>
    <col min="5555" max="5557" width="10.85546875" style="2" customWidth="1"/>
    <col min="5558" max="5560" width="14.5703125" style="2" bestFit="1" customWidth="1"/>
    <col min="5561" max="5563" width="11" style="2" customWidth="1"/>
    <col min="5564" max="5566" width="14.5703125" style="2" customWidth="1"/>
    <col min="5567" max="5569" width="15.28515625" style="2" customWidth="1"/>
    <col min="5570" max="5570" width="15.5703125" style="2"/>
    <col min="5571" max="5571" width="44.5703125" style="2" customWidth="1"/>
    <col min="5572" max="5572" width="13.85546875" style="2" customWidth="1"/>
    <col min="5573" max="5573" width="10.85546875" style="2" customWidth="1"/>
    <col min="5574" max="5574" width="14.5703125" style="2" customWidth="1"/>
    <col min="5575" max="5575" width="11" style="2" customWidth="1"/>
    <col min="5576" max="5576" width="10.85546875" style="2" customWidth="1"/>
    <col min="5577" max="5577" width="14.5703125" style="2" customWidth="1"/>
    <col min="5578" max="5579" width="15.5703125" style="2" customWidth="1"/>
    <col min="5580" max="5580" width="17.7109375" style="2" customWidth="1"/>
    <col min="5581" max="5806" width="29.28515625" style="2" customWidth="1"/>
    <col min="5807" max="5807" width="42.42578125" style="2" customWidth="1"/>
    <col min="5808" max="5810" width="12.42578125" style="2" customWidth="1"/>
    <col min="5811" max="5813" width="10.85546875" style="2" customWidth="1"/>
    <col min="5814" max="5816" width="14.5703125" style="2" bestFit="1" customWidth="1"/>
    <col min="5817" max="5819" width="11" style="2" customWidth="1"/>
    <col min="5820" max="5822" width="14.5703125" style="2" customWidth="1"/>
    <col min="5823" max="5825" width="15.28515625" style="2" customWidth="1"/>
    <col min="5826" max="5826" width="15.5703125" style="2"/>
    <col min="5827" max="5827" width="44.5703125" style="2" customWidth="1"/>
    <col min="5828" max="5828" width="13.85546875" style="2" customWidth="1"/>
    <col min="5829" max="5829" width="10.85546875" style="2" customWidth="1"/>
    <col min="5830" max="5830" width="14.5703125" style="2" customWidth="1"/>
    <col min="5831" max="5831" width="11" style="2" customWidth="1"/>
    <col min="5832" max="5832" width="10.85546875" style="2" customWidth="1"/>
    <col min="5833" max="5833" width="14.5703125" style="2" customWidth="1"/>
    <col min="5834" max="5835" width="15.5703125" style="2" customWidth="1"/>
    <col min="5836" max="5836" width="17.7109375" style="2" customWidth="1"/>
    <col min="5837" max="6062" width="29.28515625" style="2" customWidth="1"/>
    <col min="6063" max="6063" width="42.42578125" style="2" customWidth="1"/>
    <col min="6064" max="6066" width="12.42578125" style="2" customWidth="1"/>
    <col min="6067" max="6069" width="10.85546875" style="2" customWidth="1"/>
    <col min="6070" max="6072" width="14.5703125" style="2" bestFit="1" customWidth="1"/>
    <col min="6073" max="6075" width="11" style="2" customWidth="1"/>
    <col min="6076" max="6078" width="14.5703125" style="2" customWidth="1"/>
    <col min="6079" max="6081" width="15.28515625" style="2" customWidth="1"/>
    <col min="6082" max="6082" width="15.5703125" style="2"/>
    <col min="6083" max="6083" width="44.5703125" style="2" customWidth="1"/>
    <col min="6084" max="6084" width="13.85546875" style="2" customWidth="1"/>
    <col min="6085" max="6085" width="10.85546875" style="2" customWidth="1"/>
    <col min="6086" max="6086" width="14.5703125" style="2" customWidth="1"/>
    <col min="6087" max="6087" width="11" style="2" customWidth="1"/>
    <col min="6088" max="6088" width="10.85546875" style="2" customWidth="1"/>
    <col min="6089" max="6089" width="14.5703125" style="2" customWidth="1"/>
    <col min="6090" max="6091" width="15.5703125" style="2" customWidth="1"/>
    <col min="6092" max="6092" width="17.7109375" style="2" customWidth="1"/>
    <col min="6093" max="6318" width="29.28515625" style="2" customWidth="1"/>
    <col min="6319" max="6319" width="42.42578125" style="2" customWidth="1"/>
    <col min="6320" max="6322" width="12.42578125" style="2" customWidth="1"/>
    <col min="6323" max="6325" width="10.85546875" style="2" customWidth="1"/>
    <col min="6326" max="6328" width="14.5703125" style="2" bestFit="1" customWidth="1"/>
    <col min="6329" max="6331" width="11" style="2" customWidth="1"/>
    <col min="6332" max="6334" width="14.5703125" style="2" customWidth="1"/>
    <col min="6335" max="6337" width="15.28515625" style="2" customWidth="1"/>
    <col min="6338" max="6338" width="15.5703125" style="2"/>
    <col min="6339" max="6339" width="44.5703125" style="2" customWidth="1"/>
    <col min="6340" max="6340" width="13.85546875" style="2" customWidth="1"/>
    <col min="6341" max="6341" width="10.85546875" style="2" customWidth="1"/>
    <col min="6342" max="6342" width="14.5703125" style="2" customWidth="1"/>
    <col min="6343" max="6343" width="11" style="2" customWidth="1"/>
    <col min="6344" max="6344" width="10.85546875" style="2" customWidth="1"/>
    <col min="6345" max="6345" width="14.5703125" style="2" customWidth="1"/>
    <col min="6346" max="6347" width="15.5703125" style="2" customWidth="1"/>
    <col min="6348" max="6348" width="17.7109375" style="2" customWidth="1"/>
    <col min="6349" max="6574" width="29.28515625" style="2" customWidth="1"/>
    <col min="6575" max="6575" width="42.42578125" style="2" customWidth="1"/>
    <col min="6576" max="6578" width="12.42578125" style="2" customWidth="1"/>
    <col min="6579" max="6581" width="10.85546875" style="2" customWidth="1"/>
    <col min="6582" max="6584" width="14.5703125" style="2" bestFit="1" customWidth="1"/>
    <col min="6585" max="6587" width="11" style="2" customWidth="1"/>
    <col min="6588" max="6590" width="14.5703125" style="2" customWidth="1"/>
    <col min="6591" max="6593" width="15.28515625" style="2" customWidth="1"/>
    <col min="6594" max="6594" width="15.5703125" style="2"/>
    <col min="6595" max="6595" width="44.5703125" style="2" customWidth="1"/>
    <col min="6596" max="6596" width="13.85546875" style="2" customWidth="1"/>
    <col min="6597" max="6597" width="10.85546875" style="2" customWidth="1"/>
    <col min="6598" max="6598" width="14.5703125" style="2" customWidth="1"/>
    <col min="6599" max="6599" width="11" style="2" customWidth="1"/>
    <col min="6600" max="6600" width="10.85546875" style="2" customWidth="1"/>
    <col min="6601" max="6601" width="14.5703125" style="2" customWidth="1"/>
    <col min="6602" max="6603" width="15.5703125" style="2" customWidth="1"/>
    <col min="6604" max="6604" width="17.7109375" style="2" customWidth="1"/>
    <col min="6605" max="6830" width="29.28515625" style="2" customWidth="1"/>
    <col min="6831" max="6831" width="42.42578125" style="2" customWidth="1"/>
    <col min="6832" max="6834" width="12.42578125" style="2" customWidth="1"/>
    <col min="6835" max="6837" width="10.85546875" style="2" customWidth="1"/>
    <col min="6838" max="6840" width="14.5703125" style="2" bestFit="1" customWidth="1"/>
    <col min="6841" max="6843" width="11" style="2" customWidth="1"/>
    <col min="6844" max="6846" width="14.5703125" style="2" customWidth="1"/>
    <col min="6847" max="6849" width="15.28515625" style="2" customWidth="1"/>
    <col min="6850" max="6850" width="15.5703125" style="2"/>
    <col min="6851" max="6851" width="44.5703125" style="2" customWidth="1"/>
    <col min="6852" max="6852" width="13.85546875" style="2" customWidth="1"/>
    <col min="6853" max="6853" width="10.85546875" style="2" customWidth="1"/>
    <col min="6854" max="6854" width="14.5703125" style="2" customWidth="1"/>
    <col min="6855" max="6855" width="11" style="2" customWidth="1"/>
    <col min="6856" max="6856" width="10.85546875" style="2" customWidth="1"/>
    <col min="6857" max="6857" width="14.5703125" style="2" customWidth="1"/>
    <col min="6858" max="6859" width="15.5703125" style="2" customWidth="1"/>
    <col min="6860" max="6860" width="17.7109375" style="2" customWidth="1"/>
    <col min="6861" max="7086" width="29.28515625" style="2" customWidth="1"/>
    <col min="7087" max="7087" width="42.42578125" style="2" customWidth="1"/>
    <col min="7088" max="7090" width="12.42578125" style="2" customWidth="1"/>
    <col min="7091" max="7093" width="10.85546875" style="2" customWidth="1"/>
    <col min="7094" max="7096" width="14.5703125" style="2" bestFit="1" customWidth="1"/>
    <col min="7097" max="7099" width="11" style="2" customWidth="1"/>
    <col min="7100" max="7102" width="14.5703125" style="2" customWidth="1"/>
    <col min="7103" max="7105" width="15.28515625" style="2" customWidth="1"/>
    <col min="7106" max="7106" width="15.5703125" style="2"/>
    <col min="7107" max="7107" width="44.5703125" style="2" customWidth="1"/>
    <col min="7108" max="7108" width="13.85546875" style="2" customWidth="1"/>
    <col min="7109" max="7109" width="10.85546875" style="2" customWidth="1"/>
    <col min="7110" max="7110" width="14.5703125" style="2" customWidth="1"/>
    <col min="7111" max="7111" width="11" style="2" customWidth="1"/>
    <col min="7112" max="7112" width="10.85546875" style="2" customWidth="1"/>
    <col min="7113" max="7113" width="14.5703125" style="2" customWidth="1"/>
    <col min="7114" max="7115" width="15.5703125" style="2" customWidth="1"/>
    <col min="7116" max="7116" width="17.7109375" style="2" customWidth="1"/>
    <col min="7117" max="7342" width="29.28515625" style="2" customWidth="1"/>
    <col min="7343" max="7343" width="42.42578125" style="2" customWidth="1"/>
    <col min="7344" max="7346" width="12.42578125" style="2" customWidth="1"/>
    <col min="7347" max="7349" width="10.85546875" style="2" customWidth="1"/>
    <col min="7350" max="7352" width="14.5703125" style="2" bestFit="1" customWidth="1"/>
    <col min="7353" max="7355" width="11" style="2" customWidth="1"/>
    <col min="7356" max="7358" width="14.5703125" style="2" customWidth="1"/>
    <col min="7359" max="7361" width="15.28515625" style="2" customWidth="1"/>
    <col min="7362" max="7362" width="15.5703125" style="2"/>
    <col min="7363" max="7363" width="44.5703125" style="2" customWidth="1"/>
    <col min="7364" max="7364" width="13.85546875" style="2" customWidth="1"/>
    <col min="7365" max="7365" width="10.85546875" style="2" customWidth="1"/>
    <col min="7366" max="7366" width="14.5703125" style="2" customWidth="1"/>
    <col min="7367" max="7367" width="11" style="2" customWidth="1"/>
    <col min="7368" max="7368" width="10.85546875" style="2" customWidth="1"/>
    <col min="7369" max="7369" width="14.5703125" style="2" customWidth="1"/>
    <col min="7370" max="7371" width="15.5703125" style="2" customWidth="1"/>
    <col min="7372" max="7372" width="17.7109375" style="2" customWidth="1"/>
    <col min="7373" max="7598" width="29.28515625" style="2" customWidth="1"/>
    <col min="7599" max="7599" width="42.42578125" style="2" customWidth="1"/>
    <col min="7600" max="7602" width="12.42578125" style="2" customWidth="1"/>
    <col min="7603" max="7605" width="10.85546875" style="2" customWidth="1"/>
    <col min="7606" max="7608" width="14.5703125" style="2" bestFit="1" customWidth="1"/>
    <col min="7609" max="7611" width="11" style="2" customWidth="1"/>
    <col min="7612" max="7614" width="14.5703125" style="2" customWidth="1"/>
    <col min="7615" max="7617" width="15.28515625" style="2" customWidth="1"/>
    <col min="7618" max="7618" width="15.5703125" style="2"/>
    <col min="7619" max="7619" width="44.5703125" style="2" customWidth="1"/>
    <col min="7620" max="7620" width="13.85546875" style="2" customWidth="1"/>
    <col min="7621" max="7621" width="10.85546875" style="2" customWidth="1"/>
    <col min="7622" max="7622" width="14.5703125" style="2" customWidth="1"/>
    <col min="7623" max="7623" width="11" style="2" customWidth="1"/>
    <col min="7624" max="7624" width="10.85546875" style="2" customWidth="1"/>
    <col min="7625" max="7625" width="14.5703125" style="2" customWidth="1"/>
    <col min="7626" max="7627" width="15.5703125" style="2" customWidth="1"/>
    <col min="7628" max="7628" width="17.7109375" style="2" customWidth="1"/>
    <col min="7629" max="7854" width="29.28515625" style="2" customWidth="1"/>
    <col min="7855" max="7855" width="42.42578125" style="2" customWidth="1"/>
    <col min="7856" max="7858" width="12.42578125" style="2" customWidth="1"/>
    <col min="7859" max="7861" width="10.85546875" style="2" customWidth="1"/>
    <col min="7862" max="7864" width="14.5703125" style="2" bestFit="1" customWidth="1"/>
    <col min="7865" max="7867" width="11" style="2" customWidth="1"/>
    <col min="7868" max="7870" width="14.5703125" style="2" customWidth="1"/>
    <col min="7871" max="7873" width="15.28515625" style="2" customWidth="1"/>
    <col min="7874" max="7874" width="15.5703125" style="2"/>
    <col min="7875" max="7875" width="44.5703125" style="2" customWidth="1"/>
    <col min="7876" max="7876" width="13.85546875" style="2" customWidth="1"/>
    <col min="7877" max="7877" width="10.85546875" style="2" customWidth="1"/>
    <col min="7878" max="7878" width="14.5703125" style="2" customWidth="1"/>
    <col min="7879" max="7879" width="11" style="2" customWidth="1"/>
    <col min="7880" max="7880" width="10.85546875" style="2" customWidth="1"/>
    <col min="7881" max="7881" width="14.5703125" style="2" customWidth="1"/>
    <col min="7882" max="7883" width="15.5703125" style="2" customWidth="1"/>
    <col min="7884" max="7884" width="17.7109375" style="2" customWidth="1"/>
    <col min="7885" max="8110" width="29.28515625" style="2" customWidth="1"/>
    <col min="8111" max="8111" width="42.42578125" style="2" customWidth="1"/>
    <col min="8112" max="8114" width="12.42578125" style="2" customWidth="1"/>
    <col min="8115" max="8117" width="10.85546875" style="2" customWidth="1"/>
    <col min="8118" max="8120" width="14.5703125" style="2" bestFit="1" customWidth="1"/>
    <col min="8121" max="8123" width="11" style="2" customWidth="1"/>
    <col min="8124" max="8126" width="14.5703125" style="2" customWidth="1"/>
    <col min="8127" max="8129" width="15.28515625" style="2" customWidth="1"/>
    <col min="8130" max="8130" width="15.5703125" style="2"/>
    <col min="8131" max="8131" width="44.5703125" style="2" customWidth="1"/>
    <col min="8132" max="8132" width="13.85546875" style="2" customWidth="1"/>
    <col min="8133" max="8133" width="10.85546875" style="2" customWidth="1"/>
    <col min="8134" max="8134" width="14.5703125" style="2" customWidth="1"/>
    <col min="8135" max="8135" width="11" style="2" customWidth="1"/>
    <col min="8136" max="8136" width="10.85546875" style="2" customWidth="1"/>
    <col min="8137" max="8137" width="14.5703125" style="2" customWidth="1"/>
    <col min="8138" max="8139" width="15.5703125" style="2" customWidth="1"/>
    <col min="8140" max="8140" width="17.7109375" style="2" customWidth="1"/>
    <col min="8141" max="8366" width="29.28515625" style="2" customWidth="1"/>
    <col min="8367" max="8367" width="42.42578125" style="2" customWidth="1"/>
    <col min="8368" max="8370" width="12.42578125" style="2" customWidth="1"/>
    <col min="8371" max="8373" width="10.85546875" style="2" customWidth="1"/>
    <col min="8374" max="8376" width="14.5703125" style="2" bestFit="1" customWidth="1"/>
    <col min="8377" max="8379" width="11" style="2" customWidth="1"/>
    <col min="8380" max="8382" width="14.5703125" style="2" customWidth="1"/>
    <col min="8383" max="8385" width="15.28515625" style="2" customWidth="1"/>
    <col min="8386" max="8386" width="15.5703125" style="2"/>
    <col min="8387" max="8387" width="44.5703125" style="2" customWidth="1"/>
    <col min="8388" max="8388" width="13.85546875" style="2" customWidth="1"/>
    <col min="8389" max="8389" width="10.85546875" style="2" customWidth="1"/>
    <col min="8390" max="8390" width="14.5703125" style="2" customWidth="1"/>
    <col min="8391" max="8391" width="11" style="2" customWidth="1"/>
    <col min="8392" max="8392" width="10.85546875" style="2" customWidth="1"/>
    <col min="8393" max="8393" width="14.5703125" style="2" customWidth="1"/>
    <col min="8394" max="8395" width="15.5703125" style="2" customWidth="1"/>
    <col min="8396" max="8396" width="17.7109375" style="2" customWidth="1"/>
    <col min="8397" max="8622" width="29.28515625" style="2" customWidth="1"/>
    <col min="8623" max="8623" width="42.42578125" style="2" customWidth="1"/>
    <col min="8624" max="8626" width="12.42578125" style="2" customWidth="1"/>
    <col min="8627" max="8629" width="10.85546875" style="2" customWidth="1"/>
    <col min="8630" max="8632" width="14.5703125" style="2" bestFit="1" customWidth="1"/>
    <col min="8633" max="8635" width="11" style="2" customWidth="1"/>
    <col min="8636" max="8638" width="14.5703125" style="2" customWidth="1"/>
    <col min="8639" max="8641" width="15.28515625" style="2" customWidth="1"/>
    <col min="8642" max="8642" width="15.5703125" style="2"/>
    <col min="8643" max="8643" width="44.5703125" style="2" customWidth="1"/>
    <col min="8644" max="8644" width="13.85546875" style="2" customWidth="1"/>
    <col min="8645" max="8645" width="10.85546875" style="2" customWidth="1"/>
    <col min="8646" max="8646" width="14.5703125" style="2" customWidth="1"/>
    <col min="8647" max="8647" width="11" style="2" customWidth="1"/>
    <col min="8648" max="8648" width="10.85546875" style="2" customWidth="1"/>
    <col min="8649" max="8649" width="14.5703125" style="2" customWidth="1"/>
    <col min="8650" max="8651" width="15.5703125" style="2" customWidth="1"/>
    <col min="8652" max="8652" width="17.7109375" style="2" customWidth="1"/>
    <col min="8653" max="8878" width="29.28515625" style="2" customWidth="1"/>
    <col min="8879" max="8879" width="42.42578125" style="2" customWidth="1"/>
    <col min="8880" max="8882" width="12.42578125" style="2" customWidth="1"/>
    <col min="8883" max="8885" width="10.85546875" style="2" customWidth="1"/>
    <col min="8886" max="8888" width="14.5703125" style="2" bestFit="1" customWidth="1"/>
    <col min="8889" max="8891" width="11" style="2" customWidth="1"/>
    <col min="8892" max="8894" width="14.5703125" style="2" customWidth="1"/>
    <col min="8895" max="8897" width="15.28515625" style="2" customWidth="1"/>
    <col min="8898" max="8898" width="15.5703125" style="2"/>
    <col min="8899" max="8899" width="44.5703125" style="2" customWidth="1"/>
    <col min="8900" max="8900" width="13.85546875" style="2" customWidth="1"/>
    <col min="8901" max="8901" width="10.85546875" style="2" customWidth="1"/>
    <col min="8902" max="8902" width="14.5703125" style="2" customWidth="1"/>
    <col min="8903" max="8903" width="11" style="2" customWidth="1"/>
    <col min="8904" max="8904" width="10.85546875" style="2" customWidth="1"/>
    <col min="8905" max="8905" width="14.5703125" style="2" customWidth="1"/>
    <col min="8906" max="8907" width="15.5703125" style="2" customWidth="1"/>
    <col min="8908" max="8908" width="17.7109375" style="2" customWidth="1"/>
    <col min="8909" max="9134" width="29.28515625" style="2" customWidth="1"/>
    <col min="9135" max="9135" width="42.42578125" style="2" customWidth="1"/>
    <col min="9136" max="9138" width="12.42578125" style="2" customWidth="1"/>
    <col min="9139" max="9141" width="10.85546875" style="2" customWidth="1"/>
    <col min="9142" max="9144" width="14.5703125" style="2" bestFit="1" customWidth="1"/>
    <col min="9145" max="9147" width="11" style="2" customWidth="1"/>
    <col min="9148" max="9150" width="14.5703125" style="2" customWidth="1"/>
    <col min="9151" max="9153" width="15.28515625" style="2" customWidth="1"/>
    <col min="9154" max="9154" width="15.5703125" style="2"/>
    <col min="9155" max="9155" width="44.5703125" style="2" customWidth="1"/>
    <col min="9156" max="9156" width="13.85546875" style="2" customWidth="1"/>
    <col min="9157" max="9157" width="10.85546875" style="2" customWidth="1"/>
    <col min="9158" max="9158" width="14.5703125" style="2" customWidth="1"/>
    <col min="9159" max="9159" width="11" style="2" customWidth="1"/>
    <col min="9160" max="9160" width="10.85546875" style="2" customWidth="1"/>
    <col min="9161" max="9161" width="14.5703125" style="2" customWidth="1"/>
    <col min="9162" max="9163" width="15.5703125" style="2" customWidth="1"/>
    <col min="9164" max="9164" width="17.7109375" style="2" customWidth="1"/>
    <col min="9165" max="9390" width="29.28515625" style="2" customWidth="1"/>
    <col min="9391" max="9391" width="42.42578125" style="2" customWidth="1"/>
    <col min="9392" max="9394" width="12.42578125" style="2" customWidth="1"/>
    <col min="9395" max="9397" width="10.85546875" style="2" customWidth="1"/>
    <col min="9398" max="9400" width="14.5703125" style="2" bestFit="1" customWidth="1"/>
    <col min="9401" max="9403" width="11" style="2" customWidth="1"/>
    <col min="9404" max="9406" width="14.5703125" style="2" customWidth="1"/>
    <col min="9407" max="9409" width="15.28515625" style="2" customWidth="1"/>
    <col min="9410" max="9410" width="15.5703125" style="2"/>
    <col min="9411" max="9411" width="44.5703125" style="2" customWidth="1"/>
    <col min="9412" max="9412" width="13.85546875" style="2" customWidth="1"/>
    <col min="9413" max="9413" width="10.85546875" style="2" customWidth="1"/>
    <col min="9414" max="9414" width="14.5703125" style="2" customWidth="1"/>
    <col min="9415" max="9415" width="11" style="2" customWidth="1"/>
    <col min="9416" max="9416" width="10.85546875" style="2" customWidth="1"/>
    <col min="9417" max="9417" width="14.5703125" style="2" customWidth="1"/>
    <col min="9418" max="9419" width="15.5703125" style="2" customWidth="1"/>
    <col min="9420" max="9420" width="17.7109375" style="2" customWidth="1"/>
    <col min="9421" max="9646" width="29.28515625" style="2" customWidth="1"/>
    <col min="9647" max="9647" width="42.42578125" style="2" customWidth="1"/>
    <col min="9648" max="9650" width="12.42578125" style="2" customWidth="1"/>
    <col min="9651" max="9653" width="10.85546875" style="2" customWidth="1"/>
    <col min="9654" max="9656" width="14.5703125" style="2" bestFit="1" customWidth="1"/>
    <col min="9657" max="9659" width="11" style="2" customWidth="1"/>
    <col min="9660" max="9662" width="14.5703125" style="2" customWidth="1"/>
    <col min="9663" max="9665" width="15.28515625" style="2" customWidth="1"/>
    <col min="9666" max="9666" width="15.5703125" style="2"/>
    <col min="9667" max="9667" width="44.5703125" style="2" customWidth="1"/>
    <col min="9668" max="9668" width="13.85546875" style="2" customWidth="1"/>
    <col min="9669" max="9669" width="10.85546875" style="2" customWidth="1"/>
    <col min="9670" max="9670" width="14.5703125" style="2" customWidth="1"/>
    <col min="9671" max="9671" width="11" style="2" customWidth="1"/>
    <col min="9672" max="9672" width="10.85546875" style="2" customWidth="1"/>
    <col min="9673" max="9673" width="14.5703125" style="2" customWidth="1"/>
    <col min="9674" max="9675" width="15.5703125" style="2" customWidth="1"/>
    <col min="9676" max="9676" width="17.7109375" style="2" customWidth="1"/>
    <col min="9677" max="9902" width="29.28515625" style="2" customWidth="1"/>
    <col min="9903" max="9903" width="42.42578125" style="2" customWidth="1"/>
    <col min="9904" max="9906" width="12.42578125" style="2" customWidth="1"/>
    <col min="9907" max="9909" width="10.85546875" style="2" customWidth="1"/>
    <col min="9910" max="9912" width="14.5703125" style="2" bestFit="1" customWidth="1"/>
    <col min="9913" max="9915" width="11" style="2" customWidth="1"/>
    <col min="9916" max="9918" width="14.5703125" style="2" customWidth="1"/>
    <col min="9919" max="9921" width="15.28515625" style="2" customWidth="1"/>
    <col min="9922" max="9922" width="15.5703125" style="2"/>
    <col min="9923" max="9923" width="44.5703125" style="2" customWidth="1"/>
    <col min="9924" max="9924" width="13.85546875" style="2" customWidth="1"/>
    <col min="9925" max="9925" width="10.85546875" style="2" customWidth="1"/>
    <col min="9926" max="9926" width="14.5703125" style="2" customWidth="1"/>
    <col min="9927" max="9927" width="11" style="2" customWidth="1"/>
    <col min="9928" max="9928" width="10.85546875" style="2" customWidth="1"/>
    <col min="9929" max="9929" width="14.5703125" style="2" customWidth="1"/>
    <col min="9930" max="9931" width="15.5703125" style="2" customWidth="1"/>
    <col min="9932" max="9932" width="17.7109375" style="2" customWidth="1"/>
    <col min="9933" max="10158" width="29.28515625" style="2" customWidth="1"/>
    <col min="10159" max="10159" width="42.42578125" style="2" customWidth="1"/>
    <col min="10160" max="10162" width="12.42578125" style="2" customWidth="1"/>
    <col min="10163" max="10165" width="10.85546875" style="2" customWidth="1"/>
    <col min="10166" max="10168" width="14.5703125" style="2" bestFit="1" customWidth="1"/>
    <col min="10169" max="10171" width="11" style="2" customWidth="1"/>
    <col min="10172" max="10174" width="14.5703125" style="2" customWidth="1"/>
    <col min="10175" max="10177" width="15.28515625" style="2" customWidth="1"/>
    <col min="10178" max="10178" width="15.5703125" style="2"/>
    <col min="10179" max="10179" width="44.5703125" style="2" customWidth="1"/>
    <col min="10180" max="10180" width="13.85546875" style="2" customWidth="1"/>
    <col min="10181" max="10181" width="10.85546875" style="2" customWidth="1"/>
    <col min="10182" max="10182" width="14.5703125" style="2" customWidth="1"/>
    <col min="10183" max="10183" width="11" style="2" customWidth="1"/>
    <col min="10184" max="10184" width="10.85546875" style="2" customWidth="1"/>
    <col min="10185" max="10185" width="14.5703125" style="2" customWidth="1"/>
    <col min="10186" max="10187" width="15.5703125" style="2" customWidth="1"/>
    <col min="10188" max="10188" width="17.7109375" style="2" customWidth="1"/>
    <col min="10189" max="10414" width="29.28515625" style="2" customWidth="1"/>
    <col min="10415" max="10415" width="42.42578125" style="2" customWidth="1"/>
    <col min="10416" max="10418" width="12.42578125" style="2" customWidth="1"/>
    <col min="10419" max="10421" width="10.85546875" style="2" customWidth="1"/>
    <col min="10422" max="10424" width="14.5703125" style="2" bestFit="1" customWidth="1"/>
    <col min="10425" max="10427" width="11" style="2" customWidth="1"/>
    <col min="10428" max="10430" width="14.5703125" style="2" customWidth="1"/>
    <col min="10431" max="10433" width="15.28515625" style="2" customWidth="1"/>
    <col min="10434" max="10434" width="15.5703125" style="2"/>
    <col min="10435" max="10435" width="44.5703125" style="2" customWidth="1"/>
    <col min="10436" max="10436" width="13.85546875" style="2" customWidth="1"/>
    <col min="10437" max="10437" width="10.85546875" style="2" customWidth="1"/>
    <col min="10438" max="10438" width="14.5703125" style="2" customWidth="1"/>
    <col min="10439" max="10439" width="11" style="2" customWidth="1"/>
    <col min="10440" max="10440" width="10.85546875" style="2" customWidth="1"/>
    <col min="10441" max="10441" width="14.5703125" style="2" customWidth="1"/>
    <col min="10442" max="10443" width="15.5703125" style="2" customWidth="1"/>
    <col min="10444" max="10444" width="17.7109375" style="2" customWidth="1"/>
    <col min="10445" max="10670" width="29.28515625" style="2" customWidth="1"/>
    <col min="10671" max="10671" width="42.42578125" style="2" customWidth="1"/>
    <col min="10672" max="10674" width="12.42578125" style="2" customWidth="1"/>
    <col min="10675" max="10677" width="10.85546875" style="2" customWidth="1"/>
    <col min="10678" max="10680" width="14.5703125" style="2" bestFit="1" customWidth="1"/>
    <col min="10681" max="10683" width="11" style="2" customWidth="1"/>
    <col min="10684" max="10686" width="14.5703125" style="2" customWidth="1"/>
    <col min="10687" max="10689" width="15.28515625" style="2" customWidth="1"/>
    <col min="10690" max="10690" width="15.5703125" style="2"/>
    <col min="10691" max="10691" width="44.5703125" style="2" customWidth="1"/>
    <col min="10692" max="10692" width="13.85546875" style="2" customWidth="1"/>
    <col min="10693" max="10693" width="10.85546875" style="2" customWidth="1"/>
    <col min="10694" max="10694" width="14.5703125" style="2" customWidth="1"/>
    <col min="10695" max="10695" width="11" style="2" customWidth="1"/>
    <col min="10696" max="10696" width="10.85546875" style="2" customWidth="1"/>
    <col min="10697" max="10697" width="14.5703125" style="2" customWidth="1"/>
    <col min="10698" max="10699" width="15.5703125" style="2" customWidth="1"/>
    <col min="10700" max="10700" width="17.7109375" style="2" customWidth="1"/>
    <col min="10701" max="10926" width="29.28515625" style="2" customWidth="1"/>
    <col min="10927" max="10927" width="42.42578125" style="2" customWidth="1"/>
    <col min="10928" max="10930" width="12.42578125" style="2" customWidth="1"/>
    <col min="10931" max="10933" width="10.85546875" style="2" customWidth="1"/>
    <col min="10934" max="10936" width="14.5703125" style="2" bestFit="1" customWidth="1"/>
    <col min="10937" max="10939" width="11" style="2" customWidth="1"/>
    <col min="10940" max="10942" width="14.5703125" style="2" customWidth="1"/>
    <col min="10943" max="10945" width="15.28515625" style="2" customWidth="1"/>
    <col min="10946" max="10946" width="15.5703125" style="2"/>
    <col min="10947" max="10947" width="44.5703125" style="2" customWidth="1"/>
    <col min="10948" max="10948" width="13.85546875" style="2" customWidth="1"/>
    <col min="10949" max="10949" width="10.85546875" style="2" customWidth="1"/>
    <col min="10950" max="10950" width="14.5703125" style="2" customWidth="1"/>
    <col min="10951" max="10951" width="11" style="2" customWidth="1"/>
    <col min="10952" max="10952" width="10.85546875" style="2" customWidth="1"/>
    <col min="10953" max="10953" width="14.5703125" style="2" customWidth="1"/>
    <col min="10954" max="10955" width="15.5703125" style="2" customWidth="1"/>
    <col min="10956" max="10956" width="17.7109375" style="2" customWidth="1"/>
    <col min="10957" max="11182" width="29.28515625" style="2" customWidth="1"/>
    <col min="11183" max="11183" width="42.42578125" style="2" customWidth="1"/>
    <col min="11184" max="11186" width="12.42578125" style="2" customWidth="1"/>
    <col min="11187" max="11189" width="10.85546875" style="2" customWidth="1"/>
    <col min="11190" max="11192" width="14.5703125" style="2" bestFit="1" customWidth="1"/>
    <col min="11193" max="11195" width="11" style="2" customWidth="1"/>
    <col min="11196" max="11198" width="14.5703125" style="2" customWidth="1"/>
    <col min="11199" max="11201" width="15.28515625" style="2" customWidth="1"/>
    <col min="11202" max="11202" width="15.5703125" style="2"/>
    <col min="11203" max="11203" width="44.5703125" style="2" customWidth="1"/>
    <col min="11204" max="11204" width="13.85546875" style="2" customWidth="1"/>
    <col min="11205" max="11205" width="10.85546875" style="2" customWidth="1"/>
    <col min="11206" max="11206" width="14.5703125" style="2" customWidth="1"/>
    <col min="11207" max="11207" width="11" style="2" customWidth="1"/>
    <col min="11208" max="11208" width="10.85546875" style="2" customWidth="1"/>
    <col min="11209" max="11209" width="14.5703125" style="2" customWidth="1"/>
    <col min="11210" max="11211" width="15.5703125" style="2" customWidth="1"/>
    <col min="11212" max="11212" width="17.7109375" style="2" customWidth="1"/>
    <col min="11213" max="11438" width="29.28515625" style="2" customWidth="1"/>
    <col min="11439" max="11439" width="42.42578125" style="2" customWidth="1"/>
    <col min="11440" max="11442" width="12.42578125" style="2" customWidth="1"/>
    <col min="11443" max="11445" width="10.85546875" style="2" customWidth="1"/>
    <col min="11446" max="11448" width="14.5703125" style="2" bestFit="1" customWidth="1"/>
    <col min="11449" max="11451" width="11" style="2" customWidth="1"/>
    <col min="11452" max="11454" width="14.5703125" style="2" customWidth="1"/>
    <col min="11455" max="11457" width="15.28515625" style="2" customWidth="1"/>
    <col min="11458" max="11458" width="15.5703125" style="2"/>
    <col min="11459" max="11459" width="44.5703125" style="2" customWidth="1"/>
    <col min="11460" max="11460" width="13.85546875" style="2" customWidth="1"/>
    <col min="11461" max="11461" width="10.85546875" style="2" customWidth="1"/>
    <col min="11462" max="11462" width="14.5703125" style="2" customWidth="1"/>
    <col min="11463" max="11463" width="11" style="2" customWidth="1"/>
    <col min="11464" max="11464" width="10.85546875" style="2" customWidth="1"/>
    <col min="11465" max="11465" width="14.5703125" style="2" customWidth="1"/>
    <col min="11466" max="11467" width="15.5703125" style="2" customWidth="1"/>
    <col min="11468" max="11468" width="17.7109375" style="2" customWidth="1"/>
    <col min="11469" max="11694" width="29.28515625" style="2" customWidth="1"/>
    <col min="11695" max="11695" width="42.42578125" style="2" customWidth="1"/>
    <col min="11696" max="11698" width="12.42578125" style="2" customWidth="1"/>
    <col min="11699" max="11701" width="10.85546875" style="2" customWidth="1"/>
    <col min="11702" max="11704" width="14.5703125" style="2" bestFit="1" customWidth="1"/>
    <col min="11705" max="11707" width="11" style="2" customWidth="1"/>
    <col min="11708" max="11710" width="14.5703125" style="2" customWidth="1"/>
    <col min="11711" max="11713" width="15.28515625" style="2" customWidth="1"/>
    <col min="11714" max="11714" width="15.5703125" style="2"/>
    <col min="11715" max="11715" width="44.5703125" style="2" customWidth="1"/>
    <col min="11716" max="11716" width="13.85546875" style="2" customWidth="1"/>
    <col min="11717" max="11717" width="10.85546875" style="2" customWidth="1"/>
    <col min="11718" max="11718" width="14.5703125" style="2" customWidth="1"/>
    <col min="11719" max="11719" width="11" style="2" customWidth="1"/>
    <col min="11720" max="11720" width="10.85546875" style="2" customWidth="1"/>
    <col min="11721" max="11721" width="14.5703125" style="2" customWidth="1"/>
    <col min="11722" max="11723" width="15.5703125" style="2" customWidth="1"/>
    <col min="11724" max="11724" width="17.7109375" style="2" customWidth="1"/>
    <col min="11725" max="11950" width="29.28515625" style="2" customWidth="1"/>
    <col min="11951" max="11951" width="42.42578125" style="2" customWidth="1"/>
    <col min="11952" max="11954" width="12.42578125" style="2" customWidth="1"/>
    <col min="11955" max="11957" width="10.85546875" style="2" customWidth="1"/>
    <col min="11958" max="11960" width="14.5703125" style="2" bestFit="1" customWidth="1"/>
    <col min="11961" max="11963" width="11" style="2" customWidth="1"/>
    <col min="11964" max="11966" width="14.5703125" style="2" customWidth="1"/>
    <col min="11967" max="11969" width="15.28515625" style="2" customWidth="1"/>
    <col min="11970" max="11970" width="15.5703125" style="2"/>
    <col min="11971" max="11971" width="44.5703125" style="2" customWidth="1"/>
    <col min="11972" max="11972" width="13.85546875" style="2" customWidth="1"/>
    <col min="11973" max="11973" width="10.85546875" style="2" customWidth="1"/>
    <col min="11974" max="11974" width="14.5703125" style="2" customWidth="1"/>
    <col min="11975" max="11975" width="11" style="2" customWidth="1"/>
    <col min="11976" max="11976" width="10.85546875" style="2" customWidth="1"/>
    <col min="11977" max="11977" width="14.5703125" style="2" customWidth="1"/>
    <col min="11978" max="11979" width="15.5703125" style="2" customWidth="1"/>
    <col min="11980" max="11980" width="17.7109375" style="2" customWidth="1"/>
    <col min="11981" max="12206" width="29.28515625" style="2" customWidth="1"/>
    <col min="12207" max="12207" width="42.42578125" style="2" customWidth="1"/>
    <col min="12208" max="12210" width="12.42578125" style="2" customWidth="1"/>
    <col min="12211" max="12213" width="10.85546875" style="2" customWidth="1"/>
    <col min="12214" max="12216" width="14.5703125" style="2" bestFit="1" customWidth="1"/>
    <col min="12217" max="12219" width="11" style="2" customWidth="1"/>
    <col min="12220" max="12222" width="14.5703125" style="2" customWidth="1"/>
    <col min="12223" max="12225" width="15.28515625" style="2" customWidth="1"/>
    <col min="12226" max="12226" width="15.5703125" style="2"/>
    <col min="12227" max="12227" width="44.5703125" style="2" customWidth="1"/>
    <col min="12228" max="12228" width="13.85546875" style="2" customWidth="1"/>
    <col min="12229" max="12229" width="10.85546875" style="2" customWidth="1"/>
    <col min="12230" max="12230" width="14.5703125" style="2" customWidth="1"/>
    <col min="12231" max="12231" width="11" style="2" customWidth="1"/>
    <col min="12232" max="12232" width="10.85546875" style="2" customWidth="1"/>
    <col min="12233" max="12233" width="14.5703125" style="2" customWidth="1"/>
    <col min="12234" max="12235" width="15.5703125" style="2" customWidth="1"/>
    <col min="12236" max="12236" width="17.7109375" style="2" customWidth="1"/>
    <col min="12237" max="12462" width="29.28515625" style="2" customWidth="1"/>
    <col min="12463" max="12463" width="42.42578125" style="2" customWidth="1"/>
    <col min="12464" max="12466" width="12.42578125" style="2" customWidth="1"/>
    <col min="12467" max="12469" width="10.85546875" style="2" customWidth="1"/>
    <col min="12470" max="12472" width="14.5703125" style="2" bestFit="1" customWidth="1"/>
    <col min="12473" max="12475" width="11" style="2" customWidth="1"/>
    <col min="12476" max="12478" width="14.5703125" style="2" customWidth="1"/>
    <col min="12479" max="12481" width="15.28515625" style="2" customWidth="1"/>
    <col min="12482" max="12482" width="15.5703125" style="2"/>
    <col min="12483" max="12483" width="44.5703125" style="2" customWidth="1"/>
    <col min="12484" max="12484" width="13.85546875" style="2" customWidth="1"/>
    <col min="12485" max="12485" width="10.85546875" style="2" customWidth="1"/>
    <col min="12486" max="12486" width="14.5703125" style="2" customWidth="1"/>
    <col min="12487" max="12487" width="11" style="2" customWidth="1"/>
    <col min="12488" max="12488" width="10.85546875" style="2" customWidth="1"/>
    <col min="12489" max="12489" width="14.5703125" style="2" customWidth="1"/>
    <col min="12490" max="12491" width="15.5703125" style="2" customWidth="1"/>
    <col min="12492" max="12492" width="17.7109375" style="2" customWidth="1"/>
    <col min="12493" max="12718" width="29.28515625" style="2" customWidth="1"/>
    <col min="12719" max="12719" width="42.42578125" style="2" customWidth="1"/>
    <col min="12720" max="12722" width="12.42578125" style="2" customWidth="1"/>
    <col min="12723" max="12725" width="10.85546875" style="2" customWidth="1"/>
    <col min="12726" max="12728" width="14.5703125" style="2" bestFit="1" customWidth="1"/>
    <col min="12729" max="12731" width="11" style="2" customWidth="1"/>
    <col min="12732" max="12734" width="14.5703125" style="2" customWidth="1"/>
    <col min="12735" max="12737" width="15.28515625" style="2" customWidth="1"/>
    <col min="12738" max="12738" width="15.5703125" style="2"/>
    <col min="12739" max="12739" width="44.5703125" style="2" customWidth="1"/>
    <col min="12740" max="12740" width="13.85546875" style="2" customWidth="1"/>
    <col min="12741" max="12741" width="10.85546875" style="2" customWidth="1"/>
    <col min="12742" max="12742" width="14.5703125" style="2" customWidth="1"/>
    <col min="12743" max="12743" width="11" style="2" customWidth="1"/>
    <col min="12744" max="12744" width="10.85546875" style="2" customWidth="1"/>
    <col min="12745" max="12745" width="14.5703125" style="2" customWidth="1"/>
    <col min="12746" max="12747" width="15.5703125" style="2" customWidth="1"/>
    <col min="12748" max="12748" width="17.7109375" style="2" customWidth="1"/>
    <col min="12749" max="12974" width="29.28515625" style="2" customWidth="1"/>
    <col min="12975" max="12975" width="42.42578125" style="2" customWidth="1"/>
    <col min="12976" max="12978" width="12.42578125" style="2" customWidth="1"/>
    <col min="12979" max="12981" width="10.85546875" style="2" customWidth="1"/>
    <col min="12982" max="12984" width="14.5703125" style="2" bestFit="1" customWidth="1"/>
    <col min="12985" max="12987" width="11" style="2" customWidth="1"/>
    <col min="12988" max="12990" width="14.5703125" style="2" customWidth="1"/>
    <col min="12991" max="12993" width="15.28515625" style="2" customWidth="1"/>
    <col min="12994" max="12994" width="15.5703125" style="2"/>
    <col min="12995" max="12995" width="44.5703125" style="2" customWidth="1"/>
    <col min="12996" max="12996" width="13.85546875" style="2" customWidth="1"/>
    <col min="12997" max="12997" width="10.85546875" style="2" customWidth="1"/>
    <col min="12998" max="12998" width="14.5703125" style="2" customWidth="1"/>
    <col min="12999" max="12999" width="11" style="2" customWidth="1"/>
    <col min="13000" max="13000" width="10.85546875" style="2" customWidth="1"/>
    <col min="13001" max="13001" width="14.5703125" style="2" customWidth="1"/>
    <col min="13002" max="13003" width="15.5703125" style="2" customWidth="1"/>
    <col min="13004" max="13004" width="17.7109375" style="2" customWidth="1"/>
    <col min="13005" max="13230" width="29.28515625" style="2" customWidth="1"/>
    <col min="13231" max="13231" width="42.42578125" style="2" customWidth="1"/>
    <col min="13232" max="13234" width="12.42578125" style="2" customWidth="1"/>
    <col min="13235" max="13237" width="10.85546875" style="2" customWidth="1"/>
    <col min="13238" max="13240" width="14.5703125" style="2" bestFit="1" customWidth="1"/>
    <col min="13241" max="13243" width="11" style="2" customWidth="1"/>
    <col min="13244" max="13246" width="14.5703125" style="2" customWidth="1"/>
    <col min="13247" max="13249" width="15.28515625" style="2" customWidth="1"/>
    <col min="13250" max="13250" width="15.5703125" style="2"/>
    <col min="13251" max="13251" width="44.5703125" style="2" customWidth="1"/>
    <col min="13252" max="13252" width="13.85546875" style="2" customWidth="1"/>
    <col min="13253" max="13253" width="10.85546875" style="2" customWidth="1"/>
    <col min="13254" max="13254" width="14.5703125" style="2" customWidth="1"/>
    <col min="13255" max="13255" width="11" style="2" customWidth="1"/>
    <col min="13256" max="13256" width="10.85546875" style="2" customWidth="1"/>
    <col min="13257" max="13257" width="14.5703125" style="2" customWidth="1"/>
    <col min="13258" max="13259" width="15.5703125" style="2" customWidth="1"/>
    <col min="13260" max="13260" width="17.7109375" style="2" customWidth="1"/>
    <col min="13261" max="13486" width="29.28515625" style="2" customWidth="1"/>
    <col min="13487" max="13487" width="42.42578125" style="2" customWidth="1"/>
    <col min="13488" max="13490" width="12.42578125" style="2" customWidth="1"/>
    <col min="13491" max="13493" width="10.85546875" style="2" customWidth="1"/>
    <col min="13494" max="13496" width="14.5703125" style="2" bestFit="1" customWidth="1"/>
    <col min="13497" max="13499" width="11" style="2" customWidth="1"/>
    <col min="13500" max="13502" width="14.5703125" style="2" customWidth="1"/>
    <col min="13503" max="13505" width="15.28515625" style="2" customWidth="1"/>
    <col min="13506" max="13506" width="15.5703125" style="2"/>
    <col min="13507" max="13507" width="44.5703125" style="2" customWidth="1"/>
    <col min="13508" max="13508" width="13.85546875" style="2" customWidth="1"/>
    <col min="13509" max="13509" width="10.85546875" style="2" customWidth="1"/>
    <col min="13510" max="13510" width="14.5703125" style="2" customWidth="1"/>
    <col min="13511" max="13511" width="11" style="2" customWidth="1"/>
    <col min="13512" max="13512" width="10.85546875" style="2" customWidth="1"/>
    <col min="13513" max="13513" width="14.5703125" style="2" customWidth="1"/>
    <col min="13514" max="13515" width="15.5703125" style="2" customWidth="1"/>
    <col min="13516" max="13516" width="17.7109375" style="2" customWidth="1"/>
    <col min="13517" max="13742" width="29.28515625" style="2" customWidth="1"/>
    <col min="13743" max="13743" width="42.42578125" style="2" customWidth="1"/>
    <col min="13744" max="13746" width="12.42578125" style="2" customWidth="1"/>
    <col min="13747" max="13749" width="10.85546875" style="2" customWidth="1"/>
    <col min="13750" max="13752" width="14.5703125" style="2" bestFit="1" customWidth="1"/>
    <col min="13753" max="13755" width="11" style="2" customWidth="1"/>
    <col min="13756" max="13758" width="14.5703125" style="2" customWidth="1"/>
    <col min="13759" max="13761" width="15.28515625" style="2" customWidth="1"/>
    <col min="13762" max="13762" width="15.5703125" style="2"/>
    <col min="13763" max="13763" width="44.5703125" style="2" customWidth="1"/>
    <col min="13764" max="13764" width="13.85546875" style="2" customWidth="1"/>
    <col min="13765" max="13765" width="10.85546875" style="2" customWidth="1"/>
    <col min="13766" max="13766" width="14.5703125" style="2" customWidth="1"/>
    <col min="13767" max="13767" width="11" style="2" customWidth="1"/>
    <col min="13768" max="13768" width="10.85546875" style="2" customWidth="1"/>
    <col min="13769" max="13769" width="14.5703125" style="2" customWidth="1"/>
    <col min="13770" max="13771" width="15.5703125" style="2" customWidth="1"/>
    <col min="13772" max="13772" width="17.7109375" style="2" customWidth="1"/>
    <col min="13773" max="13998" width="29.28515625" style="2" customWidth="1"/>
    <col min="13999" max="13999" width="42.42578125" style="2" customWidth="1"/>
    <col min="14000" max="14002" width="12.42578125" style="2" customWidth="1"/>
    <col min="14003" max="14005" width="10.85546875" style="2" customWidth="1"/>
    <col min="14006" max="14008" width="14.5703125" style="2" bestFit="1" customWidth="1"/>
    <col min="14009" max="14011" width="11" style="2" customWidth="1"/>
    <col min="14012" max="14014" width="14.5703125" style="2" customWidth="1"/>
    <col min="14015" max="14017" width="15.28515625" style="2" customWidth="1"/>
    <col min="14018" max="14018" width="15.5703125" style="2"/>
    <col min="14019" max="14019" width="44.5703125" style="2" customWidth="1"/>
    <col min="14020" max="14020" width="13.85546875" style="2" customWidth="1"/>
    <col min="14021" max="14021" width="10.85546875" style="2" customWidth="1"/>
    <col min="14022" max="14022" width="14.5703125" style="2" customWidth="1"/>
    <col min="14023" max="14023" width="11" style="2" customWidth="1"/>
    <col min="14024" max="14024" width="10.85546875" style="2" customWidth="1"/>
    <col min="14025" max="14025" width="14.5703125" style="2" customWidth="1"/>
    <col min="14026" max="14027" width="15.5703125" style="2" customWidth="1"/>
    <col min="14028" max="14028" width="17.7109375" style="2" customWidth="1"/>
    <col min="14029" max="14254" width="29.28515625" style="2" customWidth="1"/>
    <col min="14255" max="14255" width="42.42578125" style="2" customWidth="1"/>
    <col min="14256" max="14258" width="12.42578125" style="2" customWidth="1"/>
    <col min="14259" max="14261" width="10.85546875" style="2" customWidth="1"/>
    <col min="14262" max="14264" width="14.5703125" style="2" bestFit="1" customWidth="1"/>
    <col min="14265" max="14267" width="11" style="2" customWidth="1"/>
    <col min="14268" max="14270" width="14.5703125" style="2" customWidth="1"/>
    <col min="14271" max="14273" width="15.28515625" style="2" customWidth="1"/>
    <col min="14274" max="14274" width="15.5703125" style="2"/>
    <col min="14275" max="14275" width="44.5703125" style="2" customWidth="1"/>
    <col min="14276" max="14276" width="13.85546875" style="2" customWidth="1"/>
    <col min="14277" max="14277" width="10.85546875" style="2" customWidth="1"/>
    <col min="14278" max="14278" width="14.5703125" style="2" customWidth="1"/>
    <col min="14279" max="14279" width="11" style="2" customWidth="1"/>
    <col min="14280" max="14280" width="10.85546875" style="2" customWidth="1"/>
    <col min="14281" max="14281" width="14.5703125" style="2" customWidth="1"/>
    <col min="14282" max="14283" width="15.5703125" style="2" customWidth="1"/>
    <col min="14284" max="14284" width="17.7109375" style="2" customWidth="1"/>
    <col min="14285" max="14510" width="29.28515625" style="2" customWidth="1"/>
    <col min="14511" max="14511" width="42.42578125" style="2" customWidth="1"/>
    <col min="14512" max="14514" width="12.42578125" style="2" customWidth="1"/>
    <col min="14515" max="14517" width="10.85546875" style="2" customWidth="1"/>
    <col min="14518" max="14520" width="14.5703125" style="2" bestFit="1" customWidth="1"/>
    <col min="14521" max="14523" width="11" style="2" customWidth="1"/>
    <col min="14524" max="14526" width="14.5703125" style="2" customWidth="1"/>
    <col min="14527" max="14529" width="15.28515625" style="2" customWidth="1"/>
    <col min="14530" max="14530" width="15.5703125" style="2"/>
    <col min="14531" max="14531" width="44.5703125" style="2" customWidth="1"/>
    <col min="14532" max="14532" width="13.85546875" style="2" customWidth="1"/>
    <col min="14533" max="14533" width="10.85546875" style="2" customWidth="1"/>
    <col min="14534" max="14534" width="14.5703125" style="2" customWidth="1"/>
    <col min="14535" max="14535" width="11" style="2" customWidth="1"/>
    <col min="14536" max="14536" width="10.85546875" style="2" customWidth="1"/>
    <col min="14537" max="14537" width="14.5703125" style="2" customWidth="1"/>
    <col min="14538" max="14539" width="15.5703125" style="2" customWidth="1"/>
    <col min="14540" max="14540" width="17.7109375" style="2" customWidth="1"/>
    <col min="14541" max="14766" width="29.28515625" style="2" customWidth="1"/>
    <col min="14767" max="14767" width="42.42578125" style="2" customWidth="1"/>
    <col min="14768" max="14770" width="12.42578125" style="2" customWidth="1"/>
    <col min="14771" max="14773" width="10.85546875" style="2" customWidth="1"/>
    <col min="14774" max="14776" width="14.5703125" style="2" bestFit="1" customWidth="1"/>
    <col min="14777" max="14779" width="11" style="2" customWidth="1"/>
    <col min="14780" max="14782" width="14.5703125" style="2" customWidth="1"/>
    <col min="14783" max="14785" width="15.28515625" style="2" customWidth="1"/>
    <col min="14786" max="14786" width="15.5703125" style="2"/>
    <col min="14787" max="14787" width="44.5703125" style="2" customWidth="1"/>
    <col min="14788" max="14788" width="13.85546875" style="2" customWidth="1"/>
    <col min="14789" max="14789" width="10.85546875" style="2" customWidth="1"/>
    <col min="14790" max="14790" width="14.5703125" style="2" customWidth="1"/>
    <col min="14791" max="14791" width="11" style="2" customWidth="1"/>
    <col min="14792" max="14792" width="10.85546875" style="2" customWidth="1"/>
    <col min="14793" max="14793" width="14.5703125" style="2" customWidth="1"/>
    <col min="14794" max="14795" width="15.5703125" style="2" customWidth="1"/>
    <col min="14796" max="14796" width="17.7109375" style="2" customWidth="1"/>
    <col min="14797" max="15022" width="29.28515625" style="2" customWidth="1"/>
    <col min="15023" max="15023" width="42.42578125" style="2" customWidth="1"/>
    <col min="15024" max="15026" width="12.42578125" style="2" customWidth="1"/>
    <col min="15027" max="15029" width="10.85546875" style="2" customWidth="1"/>
    <col min="15030" max="15032" width="14.5703125" style="2" bestFit="1" customWidth="1"/>
    <col min="15033" max="15035" width="11" style="2" customWidth="1"/>
    <col min="15036" max="15038" width="14.5703125" style="2" customWidth="1"/>
    <col min="15039" max="15041" width="15.28515625" style="2" customWidth="1"/>
    <col min="15042" max="15042" width="15.5703125" style="2"/>
    <col min="15043" max="15043" width="44.5703125" style="2" customWidth="1"/>
    <col min="15044" max="15044" width="13.85546875" style="2" customWidth="1"/>
    <col min="15045" max="15045" width="10.85546875" style="2" customWidth="1"/>
    <col min="15046" max="15046" width="14.5703125" style="2" customWidth="1"/>
    <col min="15047" max="15047" width="11" style="2" customWidth="1"/>
    <col min="15048" max="15048" width="10.85546875" style="2" customWidth="1"/>
    <col min="15049" max="15049" width="14.5703125" style="2" customWidth="1"/>
    <col min="15050" max="15051" width="15.5703125" style="2" customWidth="1"/>
    <col min="15052" max="15052" width="17.7109375" style="2" customWidth="1"/>
    <col min="15053" max="15278" width="29.28515625" style="2" customWidth="1"/>
    <col min="15279" max="15279" width="42.42578125" style="2" customWidth="1"/>
    <col min="15280" max="15282" width="12.42578125" style="2" customWidth="1"/>
    <col min="15283" max="15285" width="10.85546875" style="2" customWidth="1"/>
    <col min="15286" max="15288" width="14.5703125" style="2" bestFit="1" customWidth="1"/>
    <col min="15289" max="15291" width="11" style="2" customWidth="1"/>
    <col min="15292" max="15294" width="14.5703125" style="2" customWidth="1"/>
    <col min="15295" max="15297" width="15.28515625" style="2" customWidth="1"/>
    <col min="15298" max="15298" width="15.5703125" style="2"/>
    <col min="15299" max="15299" width="44.5703125" style="2" customWidth="1"/>
    <col min="15300" max="15300" width="13.85546875" style="2" customWidth="1"/>
    <col min="15301" max="15301" width="10.85546875" style="2" customWidth="1"/>
    <col min="15302" max="15302" width="14.5703125" style="2" customWidth="1"/>
    <col min="15303" max="15303" width="11" style="2" customWidth="1"/>
    <col min="15304" max="15304" width="10.85546875" style="2" customWidth="1"/>
    <col min="15305" max="15305" width="14.5703125" style="2" customWidth="1"/>
    <col min="15306" max="15307" width="15.5703125" style="2" customWidth="1"/>
    <col min="15308" max="15308" width="17.7109375" style="2" customWidth="1"/>
    <col min="15309" max="15534" width="29.28515625" style="2" customWidth="1"/>
    <col min="15535" max="15535" width="42.42578125" style="2" customWidth="1"/>
    <col min="15536" max="15538" width="12.42578125" style="2" customWidth="1"/>
    <col min="15539" max="15541" width="10.85546875" style="2" customWidth="1"/>
    <col min="15542" max="15544" width="14.5703125" style="2" bestFit="1" customWidth="1"/>
    <col min="15545" max="15547" width="11" style="2" customWidth="1"/>
    <col min="15548" max="15550" width="14.5703125" style="2" customWidth="1"/>
    <col min="15551" max="15553" width="15.28515625" style="2" customWidth="1"/>
    <col min="15554" max="15554" width="15.5703125" style="2"/>
    <col min="15555" max="15555" width="44.5703125" style="2" customWidth="1"/>
    <col min="15556" max="15556" width="13.85546875" style="2" customWidth="1"/>
    <col min="15557" max="15557" width="10.85546875" style="2" customWidth="1"/>
    <col min="15558" max="15558" width="14.5703125" style="2" customWidth="1"/>
    <col min="15559" max="15559" width="11" style="2" customWidth="1"/>
    <col min="15560" max="15560" width="10.85546875" style="2" customWidth="1"/>
    <col min="15561" max="15561" width="14.5703125" style="2" customWidth="1"/>
    <col min="15562" max="15563" width="15.5703125" style="2" customWidth="1"/>
    <col min="15564" max="15564" width="17.7109375" style="2" customWidth="1"/>
    <col min="15565" max="15790" width="29.28515625" style="2" customWidth="1"/>
    <col min="15791" max="15791" width="42.42578125" style="2" customWidth="1"/>
    <col min="15792" max="15794" width="12.42578125" style="2" customWidth="1"/>
    <col min="15795" max="15797" width="10.85546875" style="2" customWidth="1"/>
    <col min="15798" max="15800" width="14.5703125" style="2" bestFit="1" customWidth="1"/>
    <col min="15801" max="15803" width="11" style="2" customWidth="1"/>
    <col min="15804" max="15806" width="14.5703125" style="2" customWidth="1"/>
    <col min="15807" max="15809" width="15.28515625" style="2" customWidth="1"/>
    <col min="15810" max="15810" width="15.5703125" style="2"/>
    <col min="15811" max="15811" width="44.5703125" style="2" customWidth="1"/>
    <col min="15812" max="15812" width="13.85546875" style="2" customWidth="1"/>
    <col min="15813" max="15813" width="10.85546875" style="2" customWidth="1"/>
    <col min="15814" max="15814" width="14.5703125" style="2" customWidth="1"/>
    <col min="15815" max="15815" width="11" style="2" customWidth="1"/>
    <col min="15816" max="15816" width="10.85546875" style="2" customWidth="1"/>
    <col min="15817" max="15817" width="14.5703125" style="2" customWidth="1"/>
    <col min="15818" max="15819" width="15.5703125" style="2" customWidth="1"/>
    <col min="15820" max="15820" width="17.7109375" style="2" customWidth="1"/>
    <col min="15821" max="16046" width="29.28515625" style="2" customWidth="1"/>
    <col min="16047" max="16047" width="42.42578125" style="2" customWidth="1"/>
    <col min="16048" max="16050" width="12.42578125" style="2" customWidth="1"/>
    <col min="16051" max="16053" width="10.85546875" style="2" customWidth="1"/>
    <col min="16054" max="16056" width="14.5703125" style="2" bestFit="1" customWidth="1"/>
    <col min="16057" max="16059" width="11" style="2" customWidth="1"/>
    <col min="16060" max="16062" width="14.5703125" style="2" customWidth="1"/>
    <col min="16063" max="16065" width="15.28515625" style="2" customWidth="1"/>
    <col min="16066" max="16066" width="15.5703125" style="2"/>
    <col min="16067" max="16067" width="44.5703125" style="2" customWidth="1"/>
    <col min="16068" max="16068" width="13.85546875" style="2" customWidth="1"/>
    <col min="16069" max="16069" width="10.85546875" style="2" customWidth="1"/>
    <col min="16070" max="16070" width="14.5703125" style="2" customWidth="1"/>
    <col min="16071" max="16071" width="11" style="2" customWidth="1"/>
    <col min="16072" max="16072" width="10.85546875" style="2" customWidth="1"/>
    <col min="16073" max="16073" width="14.5703125" style="2" customWidth="1"/>
    <col min="16074" max="16075" width="15.5703125" style="2" customWidth="1"/>
    <col min="16076" max="16076" width="17.7109375" style="2" customWidth="1"/>
    <col min="16077" max="16302" width="29.28515625" style="2" customWidth="1"/>
    <col min="16303" max="16303" width="42.42578125" style="2" customWidth="1"/>
    <col min="16304" max="16384" width="12.42578125" style="2" customWidth="1"/>
  </cols>
  <sheetData>
    <row r="1" spans="1:194" x14ac:dyDescent="0.25">
      <c r="Z1" s="3"/>
      <c r="AB1" s="3" t="s">
        <v>0</v>
      </c>
    </row>
    <row r="2" spans="1:194" x14ac:dyDescent="0.25">
      <c r="C2" s="4"/>
      <c r="Z2" s="5"/>
      <c r="AA2" s="5"/>
    </row>
    <row r="3" spans="1:194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</row>
    <row r="4" spans="1:194" s="5" customFormat="1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194" s="5" customFormat="1" x14ac:dyDescent="0.25">
      <c r="A5" s="7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194" s="9" customFormat="1" x14ac:dyDescent="0.25">
      <c r="A6" s="8"/>
    </row>
    <row r="7" spans="1:194" s="13" customFormat="1" ht="94.5" x14ac:dyDescent="0.25">
      <c r="A7" s="10" t="s">
        <v>4</v>
      </c>
      <c r="B7" s="11" t="s">
        <v>5</v>
      </c>
      <c r="C7" s="11" t="s">
        <v>5</v>
      </c>
      <c r="D7" s="11" t="s">
        <v>5</v>
      </c>
      <c r="E7" s="12" t="s">
        <v>6</v>
      </c>
      <c r="F7" s="12" t="s">
        <v>6</v>
      </c>
      <c r="G7" s="12" t="s">
        <v>6</v>
      </c>
      <c r="H7" s="12" t="s">
        <v>7</v>
      </c>
      <c r="I7" s="12" t="s">
        <v>7</v>
      </c>
      <c r="J7" s="12" t="s">
        <v>7</v>
      </c>
      <c r="K7" s="12" t="s">
        <v>8</v>
      </c>
      <c r="L7" s="12" t="s">
        <v>8</v>
      </c>
      <c r="M7" s="12" t="s">
        <v>8</v>
      </c>
      <c r="N7" s="12" t="s">
        <v>9</v>
      </c>
      <c r="O7" s="12" t="s">
        <v>9</v>
      </c>
      <c r="P7" s="12" t="s">
        <v>9</v>
      </c>
      <c r="Q7" s="12" t="s">
        <v>10</v>
      </c>
      <c r="R7" s="12" t="s">
        <v>10</v>
      </c>
      <c r="S7" s="12" t="s">
        <v>10</v>
      </c>
      <c r="T7" s="12" t="s">
        <v>11</v>
      </c>
      <c r="U7" s="12" t="s">
        <v>11</v>
      </c>
      <c r="V7" s="12" t="s">
        <v>11</v>
      </c>
      <c r="W7" s="12" t="s">
        <v>12</v>
      </c>
      <c r="X7" s="12" t="s">
        <v>12</v>
      </c>
      <c r="Y7" s="12" t="s">
        <v>12</v>
      </c>
      <c r="Z7" s="12" t="s">
        <v>13</v>
      </c>
      <c r="AA7" s="12" t="s">
        <v>13</v>
      </c>
      <c r="AB7" s="12" t="s">
        <v>13</v>
      </c>
    </row>
    <row r="8" spans="1:194" s="13" customFormat="1" x14ac:dyDescent="0.25">
      <c r="A8" s="14"/>
      <c r="B8" s="15" t="s">
        <v>14</v>
      </c>
      <c r="C8" s="15" t="s">
        <v>15</v>
      </c>
      <c r="D8" s="15" t="s">
        <v>16</v>
      </c>
      <c r="E8" s="15" t="s">
        <v>14</v>
      </c>
      <c r="F8" s="15" t="s">
        <v>15</v>
      </c>
      <c r="G8" s="15" t="s">
        <v>16</v>
      </c>
      <c r="H8" s="15" t="s">
        <v>14</v>
      </c>
      <c r="I8" s="15" t="s">
        <v>15</v>
      </c>
      <c r="J8" s="15" t="s">
        <v>16</v>
      </c>
      <c r="K8" s="15" t="s">
        <v>14</v>
      </c>
      <c r="L8" s="15" t="s">
        <v>15</v>
      </c>
      <c r="M8" s="15" t="s">
        <v>16</v>
      </c>
      <c r="N8" s="15" t="s">
        <v>14</v>
      </c>
      <c r="O8" s="15" t="s">
        <v>15</v>
      </c>
      <c r="P8" s="15" t="s">
        <v>16</v>
      </c>
      <c r="Q8" s="15" t="s">
        <v>14</v>
      </c>
      <c r="R8" s="15" t="s">
        <v>15</v>
      </c>
      <c r="S8" s="15" t="s">
        <v>16</v>
      </c>
      <c r="T8" s="15" t="s">
        <v>14</v>
      </c>
      <c r="U8" s="15" t="s">
        <v>15</v>
      </c>
      <c r="V8" s="15" t="s">
        <v>16</v>
      </c>
      <c r="W8" s="15" t="s">
        <v>14</v>
      </c>
      <c r="X8" s="15" t="s">
        <v>15</v>
      </c>
      <c r="Y8" s="15" t="s">
        <v>16</v>
      </c>
      <c r="Z8" s="15" t="s">
        <v>14</v>
      </c>
      <c r="AA8" s="15" t="s">
        <v>15</v>
      </c>
      <c r="AB8" s="15" t="s">
        <v>16</v>
      </c>
    </row>
    <row r="9" spans="1:194" s="18" customFormat="1" ht="27" customHeight="1" x14ac:dyDescent="0.25">
      <c r="A9" s="16" t="s">
        <v>17</v>
      </c>
      <c r="B9" s="17">
        <f t="shared" ref="B9:D84" si="0">E9+H9+K9+N9+Q9+T9+W9+Z9</f>
        <v>42387319</v>
      </c>
      <c r="C9" s="17">
        <f t="shared" si="0"/>
        <v>42599151</v>
      </c>
      <c r="D9" s="17">
        <f t="shared" si="0"/>
        <v>211832</v>
      </c>
      <c r="E9" s="17">
        <f>SUM(E10,E182,E418,E455,E460)</f>
        <v>1901800</v>
      </c>
      <c r="F9" s="17">
        <f>SUM(F10,F182,F418,F455,F460)</f>
        <v>1901800</v>
      </c>
      <c r="G9" s="17">
        <f t="shared" ref="G9:G84" si="1">F9-E9</f>
        <v>0</v>
      </c>
      <c r="H9" s="17">
        <f>SUM(H10,H182,H418,H455,H460)</f>
        <v>37380</v>
      </c>
      <c r="I9" s="17">
        <f>SUM(I10,I182,I418,I455,I460)</f>
        <v>1193005</v>
      </c>
      <c r="J9" s="17">
        <f t="shared" ref="J9:J84" si="2">I9-H9</f>
        <v>1155625</v>
      </c>
      <c r="K9" s="17">
        <f>SUM(K10,K182,K418,K455,K460)</f>
        <v>4847975</v>
      </c>
      <c r="L9" s="17">
        <f>SUM(L10,L182,L418,L455,L460)</f>
        <v>3508816</v>
      </c>
      <c r="M9" s="17">
        <f t="shared" ref="M9:M84" si="3">L9-K9</f>
        <v>-1339159</v>
      </c>
      <c r="N9" s="17">
        <f>SUM(N10,N182,N418,N455,N460)</f>
        <v>544663</v>
      </c>
      <c r="O9" s="17">
        <f>SUM(O10,O182,O418,O455,O460)</f>
        <v>544663</v>
      </c>
      <c r="P9" s="17">
        <f t="shared" ref="P9:P84" si="4">O9-N9</f>
        <v>0</v>
      </c>
      <c r="Q9" s="17">
        <f>SUM(Q10,Q182,Q418,Q455,Q460)</f>
        <v>6522148</v>
      </c>
      <c r="R9" s="17">
        <f>SUM(R10,R182,R418,R455,R460)</f>
        <v>6522148</v>
      </c>
      <c r="S9" s="17">
        <f t="shared" ref="S9:S84" si="5">R9-Q9</f>
        <v>0</v>
      </c>
      <c r="T9" s="17">
        <f>SUM(T10,T182,T418,T455,T460)</f>
        <v>1204797</v>
      </c>
      <c r="U9" s="17">
        <f>SUM(U10,U182,U418,U455,U460)</f>
        <v>1349047</v>
      </c>
      <c r="V9" s="17">
        <f t="shared" ref="V9:V84" si="6">U9-T9</f>
        <v>144250</v>
      </c>
      <c r="W9" s="17">
        <f>SUM(W10,W182,W418,W455,W460)</f>
        <v>5712886</v>
      </c>
      <c r="X9" s="17">
        <f>SUM(X10,X182,X418,X455,X460)</f>
        <v>5712886</v>
      </c>
      <c r="Y9" s="17">
        <f t="shared" ref="Y9:Y84" si="7">X9-W9</f>
        <v>0</v>
      </c>
      <c r="Z9" s="17">
        <f>SUM(Z10,Z182,Z418,Z455,Z460)</f>
        <v>21615670</v>
      </c>
      <c r="AA9" s="17">
        <f>SUM(AA10,AA182,AA418,AA455,AA460)</f>
        <v>21866786</v>
      </c>
      <c r="AB9" s="17">
        <f t="shared" ref="AB9:AB84" si="8">AA9-Z9</f>
        <v>251116</v>
      </c>
    </row>
    <row r="10" spans="1:194" s="21" customFormat="1" x14ac:dyDescent="0.25">
      <c r="A10" s="19" t="s">
        <v>18</v>
      </c>
      <c r="B10" s="20">
        <f t="shared" si="0"/>
        <v>17127553</v>
      </c>
      <c r="C10" s="20">
        <f t="shared" si="0"/>
        <v>17462387</v>
      </c>
      <c r="D10" s="20">
        <f t="shared" si="0"/>
        <v>334834</v>
      </c>
      <c r="E10" s="20">
        <f>SUM(E11,E29,E50,E63,E161,E176,E57,E71)</f>
        <v>791500</v>
      </c>
      <c r="F10" s="20">
        <f>SUM(F11,F29,F50,F63,F161,F176,F57,F71)</f>
        <v>1309925</v>
      </c>
      <c r="G10" s="20">
        <f t="shared" si="1"/>
        <v>518425</v>
      </c>
      <c r="H10" s="20">
        <f>SUM(H11,H29,H50,H63,H161,H176,H57,H71)</f>
        <v>24060</v>
      </c>
      <c r="I10" s="20">
        <f>SUM(I11,I29,I50,I63,I161,I176,I57,I71)</f>
        <v>851439</v>
      </c>
      <c r="J10" s="20">
        <f t="shared" si="2"/>
        <v>827379</v>
      </c>
      <c r="K10" s="20">
        <f>SUM(K11,K29,K50,K63,K161,K176,K57,K71)</f>
        <v>2775504</v>
      </c>
      <c r="L10" s="20">
        <f>SUM(L11,L29,L50,L63,L161,L176,L57,L71)</f>
        <v>1746081</v>
      </c>
      <c r="M10" s="20">
        <f t="shared" si="3"/>
        <v>-1029423</v>
      </c>
      <c r="N10" s="20">
        <f>SUM(N11,N29,N50,N63,N161,N176,N57,N71)</f>
        <v>305686</v>
      </c>
      <c r="O10" s="20">
        <f>SUM(O11,O29,O50,O63,O161,O176,O57,O71)</f>
        <v>305686</v>
      </c>
      <c r="P10" s="20">
        <f t="shared" si="4"/>
        <v>0</v>
      </c>
      <c r="Q10" s="20">
        <f>SUM(Q11,Q29,Q50,Q63,Q161,Q176,Q57,Q71)</f>
        <v>2045572</v>
      </c>
      <c r="R10" s="20">
        <f>SUM(R11,R29,R50,R63,R161,R176,R57,R71)</f>
        <v>2045572</v>
      </c>
      <c r="S10" s="20">
        <f t="shared" si="5"/>
        <v>0</v>
      </c>
      <c r="T10" s="20">
        <f>SUM(T11,T29,T50,T63,T161,T176,T57,T71)</f>
        <v>1130628</v>
      </c>
      <c r="U10" s="20">
        <f>SUM(U11,U29,U50,U63,U161,U176,U57,U71)</f>
        <v>1130628</v>
      </c>
      <c r="V10" s="20">
        <f t="shared" si="6"/>
        <v>0</v>
      </c>
      <c r="W10" s="20">
        <f>SUM(W11,W29,W50,W63,W161,W176,W57,W71)</f>
        <v>2630545</v>
      </c>
      <c r="X10" s="20">
        <f>SUM(X11,X29,X50,X63,X161,X176,X57,X71)</f>
        <v>2630545</v>
      </c>
      <c r="Y10" s="20">
        <f t="shared" si="7"/>
        <v>0</v>
      </c>
      <c r="Z10" s="20">
        <f>SUM(Z11,Z29,Z50,Z63,Z161,Z176,Z57,Z71)</f>
        <v>7424058</v>
      </c>
      <c r="AA10" s="20">
        <f>SUM(AA11,AA29,AA50,AA63,AA161,AA176,AA57,AA71)</f>
        <v>7442511</v>
      </c>
      <c r="AB10" s="20">
        <f t="shared" si="8"/>
        <v>18453</v>
      </c>
    </row>
    <row r="11" spans="1:194" s="22" customFormat="1" x14ac:dyDescent="0.25">
      <c r="A11" s="19" t="s">
        <v>19</v>
      </c>
      <c r="B11" s="20">
        <f t="shared" si="0"/>
        <v>406081</v>
      </c>
      <c r="C11" s="20">
        <f t="shared" si="0"/>
        <v>406081</v>
      </c>
      <c r="D11" s="20">
        <f t="shared" si="0"/>
        <v>0</v>
      </c>
      <c r="E11" s="20">
        <f>SUM(E12)</f>
        <v>5500</v>
      </c>
      <c r="F11" s="20">
        <f>SUM(F12)</f>
        <v>19927</v>
      </c>
      <c r="G11" s="20">
        <f t="shared" si="1"/>
        <v>14427</v>
      </c>
      <c r="H11" s="20">
        <f>SUM(H12)</f>
        <v>6780</v>
      </c>
      <c r="I11" s="20">
        <f>SUM(I12)</f>
        <v>36344</v>
      </c>
      <c r="J11" s="20">
        <f t="shared" si="2"/>
        <v>29564</v>
      </c>
      <c r="K11" s="20">
        <f>SUM(K12)</f>
        <v>88814</v>
      </c>
      <c r="L11" s="20">
        <f>SUM(L12)</f>
        <v>44818</v>
      </c>
      <c r="M11" s="20">
        <f t="shared" si="3"/>
        <v>-43996</v>
      </c>
      <c r="N11" s="20">
        <f>SUM(N12)</f>
        <v>0</v>
      </c>
      <c r="O11" s="20">
        <f>SUM(O12)</f>
        <v>0</v>
      </c>
      <c r="P11" s="20">
        <f t="shared" si="4"/>
        <v>0</v>
      </c>
      <c r="Q11" s="20">
        <f>SUM(Q12)</f>
        <v>0</v>
      </c>
      <c r="R11" s="20">
        <f>SUM(R12)</f>
        <v>0</v>
      </c>
      <c r="S11" s="20">
        <f t="shared" si="5"/>
        <v>0</v>
      </c>
      <c r="T11" s="20">
        <f>SUM(T12)</f>
        <v>0</v>
      </c>
      <c r="U11" s="20">
        <f>SUM(U12)</f>
        <v>0</v>
      </c>
      <c r="V11" s="20">
        <f t="shared" si="6"/>
        <v>0</v>
      </c>
      <c r="W11" s="20">
        <f>SUM(W12)</f>
        <v>20987</v>
      </c>
      <c r="X11" s="20">
        <f>SUM(X12)</f>
        <v>20987</v>
      </c>
      <c r="Y11" s="20">
        <f t="shared" si="7"/>
        <v>0</v>
      </c>
      <c r="Z11" s="20">
        <f>SUM(Z12)</f>
        <v>284000</v>
      </c>
      <c r="AA11" s="20">
        <f>SUM(AA12)</f>
        <v>284005</v>
      </c>
      <c r="AB11" s="20">
        <f t="shared" si="8"/>
        <v>5</v>
      </c>
    </row>
    <row r="12" spans="1:194" s="21" customFormat="1" x14ac:dyDescent="0.25">
      <c r="A12" s="19" t="s">
        <v>20</v>
      </c>
      <c r="B12" s="23">
        <f t="shared" si="0"/>
        <v>406081</v>
      </c>
      <c r="C12" s="23">
        <f t="shared" si="0"/>
        <v>406081</v>
      </c>
      <c r="D12" s="23">
        <f t="shared" si="0"/>
        <v>0</v>
      </c>
      <c r="E12" s="23">
        <f>SUM(E13:E28)</f>
        <v>5500</v>
      </c>
      <c r="F12" s="23">
        <f>SUM(F13:F28)</f>
        <v>19927</v>
      </c>
      <c r="G12" s="23">
        <f t="shared" si="1"/>
        <v>14427</v>
      </c>
      <c r="H12" s="23">
        <f>SUM(H13:H28)</f>
        <v>6780</v>
      </c>
      <c r="I12" s="23">
        <f>SUM(I13:I28)</f>
        <v>36344</v>
      </c>
      <c r="J12" s="23">
        <f t="shared" si="2"/>
        <v>29564</v>
      </c>
      <c r="K12" s="23">
        <f>SUM(K13:K28)</f>
        <v>88814</v>
      </c>
      <c r="L12" s="23">
        <f>SUM(L13:L28)</f>
        <v>44818</v>
      </c>
      <c r="M12" s="23">
        <f t="shared" si="3"/>
        <v>-43996</v>
      </c>
      <c r="N12" s="23">
        <f>SUM(N13:N28)</f>
        <v>0</v>
      </c>
      <c r="O12" s="23">
        <f>SUM(O13:O28)</f>
        <v>0</v>
      </c>
      <c r="P12" s="23">
        <f t="shared" si="4"/>
        <v>0</v>
      </c>
      <c r="Q12" s="23">
        <f>SUM(Q13:Q28)</f>
        <v>0</v>
      </c>
      <c r="R12" s="23">
        <f>SUM(R13:R28)</f>
        <v>0</v>
      </c>
      <c r="S12" s="23">
        <f t="shared" si="5"/>
        <v>0</v>
      </c>
      <c r="T12" s="23">
        <f>SUM(T13:T28)</f>
        <v>0</v>
      </c>
      <c r="U12" s="23">
        <f>SUM(U13:U28)</f>
        <v>0</v>
      </c>
      <c r="V12" s="23">
        <f t="shared" si="6"/>
        <v>0</v>
      </c>
      <c r="W12" s="23">
        <f>SUM(W13:W28)</f>
        <v>20987</v>
      </c>
      <c r="X12" s="23">
        <f>SUM(X13:X28)</f>
        <v>20987</v>
      </c>
      <c r="Y12" s="23">
        <f t="shared" si="7"/>
        <v>0</v>
      </c>
      <c r="Z12" s="23">
        <f>SUM(Z13:Z28)</f>
        <v>284000</v>
      </c>
      <c r="AA12" s="23">
        <f>SUM(AA13:AA28)</f>
        <v>284005</v>
      </c>
      <c r="AB12" s="23">
        <f t="shared" si="8"/>
        <v>5</v>
      </c>
    </row>
    <row r="13" spans="1:194" s="22" customFormat="1" x14ac:dyDescent="0.25">
      <c r="A13" s="24" t="s">
        <v>21</v>
      </c>
      <c r="B13" s="25">
        <f t="shared" si="0"/>
        <v>114483</v>
      </c>
      <c r="C13" s="25">
        <f t="shared" si="0"/>
        <v>114483</v>
      </c>
      <c r="D13" s="25">
        <f t="shared" si="0"/>
        <v>0</v>
      </c>
      <c r="E13" s="25">
        <v>5500</v>
      </c>
      <c r="F13" s="25">
        <f>5500+14427</f>
        <v>19927</v>
      </c>
      <c r="G13" s="25">
        <f t="shared" si="1"/>
        <v>14427</v>
      </c>
      <c r="H13" s="25">
        <v>0</v>
      </c>
      <c r="I13" s="25">
        <v>29564</v>
      </c>
      <c r="J13" s="25">
        <f t="shared" si="2"/>
        <v>29564</v>
      </c>
      <c r="K13" s="25">
        <v>43996</v>
      </c>
      <c r="L13" s="25">
        <v>0</v>
      </c>
      <c r="M13" s="25">
        <f>L13-K13</f>
        <v>-43996</v>
      </c>
      <c r="N13" s="25"/>
      <c r="O13" s="25"/>
      <c r="P13" s="25">
        <f t="shared" si="4"/>
        <v>0</v>
      </c>
      <c r="Q13" s="25"/>
      <c r="R13" s="25"/>
      <c r="S13" s="25">
        <f t="shared" si="5"/>
        <v>0</v>
      </c>
      <c r="T13" s="25"/>
      <c r="U13" s="25"/>
      <c r="V13" s="25">
        <f t="shared" si="6"/>
        <v>0</v>
      </c>
      <c r="W13" s="25">
        <v>20987</v>
      </c>
      <c r="X13" s="25">
        <v>20987</v>
      </c>
      <c r="Y13" s="25">
        <f t="shared" si="7"/>
        <v>0</v>
      </c>
      <c r="Z13" s="25">
        <v>44000</v>
      </c>
      <c r="AA13" s="25">
        <f>44000+5</f>
        <v>44005</v>
      </c>
      <c r="AB13" s="25">
        <f t="shared" si="8"/>
        <v>5</v>
      </c>
    </row>
    <row r="14" spans="1:194" s="22" customFormat="1" x14ac:dyDescent="0.25">
      <c r="A14" s="24" t="s">
        <v>22</v>
      </c>
      <c r="B14" s="25">
        <f t="shared" si="0"/>
        <v>240000</v>
      </c>
      <c r="C14" s="25">
        <f t="shared" si="0"/>
        <v>240000</v>
      </c>
      <c r="D14" s="25">
        <f t="shared" si="0"/>
        <v>0</v>
      </c>
      <c r="E14" s="25">
        <f>240000-240000</f>
        <v>0</v>
      </c>
      <c r="F14" s="25">
        <f>240000-240000</f>
        <v>0</v>
      </c>
      <c r="G14" s="25">
        <f t="shared" si="1"/>
        <v>0</v>
      </c>
      <c r="H14" s="25"/>
      <c r="I14" s="25"/>
      <c r="J14" s="25">
        <f t="shared" si="2"/>
        <v>0</v>
      </c>
      <c r="K14" s="25"/>
      <c r="L14" s="25"/>
      <c r="M14" s="25">
        <f>L14-K14</f>
        <v>0</v>
      </c>
      <c r="N14" s="25"/>
      <c r="O14" s="25"/>
      <c r="P14" s="25">
        <f t="shared" si="4"/>
        <v>0</v>
      </c>
      <c r="Q14" s="25"/>
      <c r="R14" s="25"/>
      <c r="S14" s="25">
        <f t="shared" si="5"/>
        <v>0</v>
      </c>
      <c r="T14" s="25"/>
      <c r="U14" s="25"/>
      <c r="V14" s="25">
        <f t="shared" si="6"/>
        <v>0</v>
      </c>
      <c r="W14" s="25"/>
      <c r="X14" s="25"/>
      <c r="Y14" s="25">
        <f t="shared" si="7"/>
        <v>0</v>
      </c>
      <c r="Z14" s="25">
        <v>240000</v>
      </c>
      <c r="AA14" s="25">
        <v>240000</v>
      </c>
      <c r="AB14" s="25">
        <f t="shared" si="8"/>
        <v>0</v>
      </c>
    </row>
    <row r="15" spans="1:194" s="22" customFormat="1" ht="31.5" x14ac:dyDescent="0.25">
      <c r="A15" s="24" t="s">
        <v>23</v>
      </c>
      <c r="B15" s="25">
        <f t="shared" si="0"/>
        <v>1290</v>
      </c>
      <c r="C15" s="25">
        <f t="shared" si="0"/>
        <v>1290</v>
      </c>
      <c r="D15" s="25">
        <f t="shared" si="0"/>
        <v>0</v>
      </c>
      <c r="E15" s="25"/>
      <c r="F15" s="25"/>
      <c r="G15" s="25">
        <f t="shared" si="1"/>
        <v>0</v>
      </c>
      <c r="H15" s="25"/>
      <c r="I15" s="25"/>
      <c r="J15" s="25">
        <f>I15-H15</f>
        <v>0</v>
      </c>
      <c r="K15" s="25">
        <v>1290</v>
      </c>
      <c r="L15" s="25">
        <v>1290</v>
      </c>
      <c r="M15" s="25"/>
      <c r="N15" s="25"/>
      <c r="O15" s="25"/>
      <c r="P15" s="25">
        <f t="shared" si="4"/>
        <v>0</v>
      </c>
      <c r="Q15" s="25"/>
      <c r="R15" s="25"/>
      <c r="S15" s="25">
        <f t="shared" si="5"/>
        <v>0</v>
      </c>
      <c r="T15" s="25"/>
      <c r="U15" s="25"/>
      <c r="V15" s="25">
        <f t="shared" si="6"/>
        <v>0</v>
      </c>
      <c r="W15" s="25"/>
      <c r="X15" s="25"/>
      <c r="Y15" s="25">
        <f t="shared" si="7"/>
        <v>0</v>
      </c>
      <c r="Z15" s="25"/>
      <c r="AA15" s="25"/>
      <c r="AB15" s="25">
        <f t="shared" si="8"/>
        <v>0</v>
      </c>
    </row>
    <row r="16" spans="1:194" s="22" customFormat="1" ht="31.5" x14ac:dyDescent="0.25">
      <c r="A16" s="24" t="s">
        <v>24</v>
      </c>
      <c r="B16" s="25">
        <f t="shared" si="0"/>
        <v>6780</v>
      </c>
      <c r="C16" s="25">
        <f t="shared" si="0"/>
        <v>6780</v>
      </c>
      <c r="D16" s="25">
        <f t="shared" si="0"/>
        <v>0</v>
      </c>
      <c r="E16" s="25"/>
      <c r="F16" s="25"/>
      <c r="G16" s="25">
        <f t="shared" si="1"/>
        <v>0</v>
      </c>
      <c r="H16" s="25">
        <v>6780</v>
      </c>
      <c r="I16" s="25">
        <v>6780</v>
      </c>
      <c r="J16" s="25"/>
      <c r="K16" s="25"/>
      <c r="L16" s="25"/>
      <c r="M16" s="25">
        <f>L16-K16</f>
        <v>0</v>
      </c>
      <c r="N16" s="25"/>
      <c r="O16" s="25"/>
      <c r="P16" s="25">
        <f t="shared" si="4"/>
        <v>0</v>
      </c>
      <c r="Q16" s="25"/>
      <c r="R16" s="25"/>
      <c r="S16" s="25">
        <f t="shared" si="5"/>
        <v>0</v>
      </c>
      <c r="T16" s="25"/>
      <c r="U16" s="25"/>
      <c r="V16" s="25">
        <f t="shared" si="6"/>
        <v>0</v>
      </c>
      <c r="W16" s="25"/>
      <c r="X16" s="25"/>
      <c r="Y16" s="25">
        <f t="shared" si="7"/>
        <v>0</v>
      </c>
      <c r="Z16" s="25"/>
      <c r="AA16" s="25"/>
      <c r="AB16" s="25">
        <f t="shared" si="8"/>
        <v>0</v>
      </c>
    </row>
    <row r="17" spans="1:28" s="22" customFormat="1" ht="31.5" x14ac:dyDescent="0.25">
      <c r="A17" s="24" t="s">
        <v>25</v>
      </c>
      <c r="B17" s="25">
        <f t="shared" si="0"/>
        <v>5000</v>
      </c>
      <c r="C17" s="25">
        <f t="shared" si="0"/>
        <v>5000</v>
      </c>
      <c r="D17" s="25">
        <f t="shared" si="0"/>
        <v>0</v>
      </c>
      <c r="E17" s="25"/>
      <c r="F17" s="25"/>
      <c r="G17" s="25">
        <f t="shared" si="1"/>
        <v>0</v>
      </c>
      <c r="H17" s="25"/>
      <c r="I17" s="25"/>
      <c r="J17" s="25">
        <f t="shared" si="2"/>
        <v>0</v>
      </c>
      <c r="K17" s="25">
        <v>5000</v>
      </c>
      <c r="L17" s="25">
        <v>5000</v>
      </c>
      <c r="M17" s="25">
        <f t="shared" si="3"/>
        <v>0</v>
      </c>
      <c r="N17" s="25"/>
      <c r="O17" s="25"/>
      <c r="P17" s="25">
        <f t="shared" si="4"/>
        <v>0</v>
      </c>
      <c r="Q17" s="25"/>
      <c r="R17" s="25"/>
      <c r="S17" s="25">
        <f t="shared" si="5"/>
        <v>0</v>
      </c>
      <c r="T17" s="25"/>
      <c r="U17" s="25"/>
      <c r="V17" s="25">
        <f t="shared" si="6"/>
        <v>0</v>
      </c>
      <c r="W17" s="25"/>
      <c r="X17" s="25"/>
      <c r="Y17" s="25">
        <f t="shared" si="7"/>
        <v>0</v>
      </c>
      <c r="Z17" s="25"/>
      <c r="AA17" s="25"/>
      <c r="AB17" s="25">
        <f t="shared" si="8"/>
        <v>0</v>
      </c>
    </row>
    <row r="18" spans="1:28" s="22" customFormat="1" ht="31.5" x14ac:dyDescent="0.25">
      <c r="A18" s="24" t="s">
        <v>26</v>
      </c>
      <c r="B18" s="25">
        <f t="shared" si="0"/>
        <v>3965</v>
      </c>
      <c r="C18" s="25">
        <f t="shared" si="0"/>
        <v>3965</v>
      </c>
      <c r="D18" s="25">
        <f t="shared" si="0"/>
        <v>0</v>
      </c>
      <c r="E18" s="25"/>
      <c r="F18" s="25"/>
      <c r="G18" s="25">
        <f t="shared" si="1"/>
        <v>0</v>
      </c>
      <c r="H18" s="25"/>
      <c r="I18" s="25"/>
      <c r="J18" s="25">
        <f t="shared" si="2"/>
        <v>0</v>
      </c>
      <c r="K18" s="25">
        <v>3965</v>
      </c>
      <c r="L18" s="25">
        <v>3965</v>
      </c>
      <c r="M18" s="25">
        <f t="shared" si="3"/>
        <v>0</v>
      </c>
      <c r="N18" s="25"/>
      <c r="O18" s="25"/>
      <c r="P18" s="25">
        <f t="shared" si="4"/>
        <v>0</v>
      </c>
      <c r="Q18" s="25"/>
      <c r="R18" s="25"/>
      <c r="S18" s="25">
        <f t="shared" si="5"/>
        <v>0</v>
      </c>
      <c r="T18" s="25"/>
      <c r="U18" s="25"/>
      <c r="V18" s="25">
        <f t="shared" si="6"/>
        <v>0</v>
      </c>
      <c r="W18" s="25"/>
      <c r="X18" s="25"/>
      <c r="Y18" s="25">
        <f t="shared" si="7"/>
        <v>0</v>
      </c>
      <c r="Z18" s="25"/>
      <c r="AA18" s="25"/>
      <c r="AB18" s="25">
        <f t="shared" si="8"/>
        <v>0</v>
      </c>
    </row>
    <row r="19" spans="1:28" s="22" customFormat="1" ht="31.5" x14ac:dyDescent="0.25">
      <c r="A19" s="24" t="s">
        <v>27</v>
      </c>
      <c r="B19" s="25">
        <f t="shared" si="0"/>
        <v>4910</v>
      </c>
      <c r="C19" s="25">
        <f t="shared" si="0"/>
        <v>4910</v>
      </c>
      <c r="D19" s="25">
        <f t="shared" si="0"/>
        <v>0</v>
      </c>
      <c r="E19" s="25"/>
      <c r="F19" s="25"/>
      <c r="G19" s="25">
        <f t="shared" si="1"/>
        <v>0</v>
      </c>
      <c r="H19" s="25"/>
      <c r="I19" s="25"/>
      <c r="J19" s="25">
        <f t="shared" si="2"/>
        <v>0</v>
      </c>
      <c r="K19" s="25">
        <v>4910</v>
      </c>
      <c r="L19" s="25">
        <v>4910</v>
      </c>
      <c r="M19" s="25">
        <f t="shared" si="3"/>
        <v>0</v>
      </c>
      <c r="N19" s="25"/>
      <c r="O19" s="25"/>
      <c r="P19" s="25">
        <f t="shared" si="4"/>
        <v>0</v>
      </c>
      <c r="Q19" s="25"/>
      <c r="R19" s="25"/>
      <c r="S19" s="25">
        <f t="shared" si="5"/>
        <v>0</v>
      </c>
      <c r="T19" s="25"/>
      <c r="U19" s="25"/>
      <c r="V19" s="25">
        <f t="shared" si="6"/>
        <v>0</v>
      </c>
      <c r="W19" s="25"/>
      <c r="X19" s="25"/>
      <c r="Y19" s="25">
        <f t="shared" si="7"/>
        <v>0</v>
      </c>
      <c r="Z19" s="25"/>
      <c r="AA19" s="25"/>
      <c r="AB19" s="25">
        <f t="shared" si="8"/>
        <v>0</v>
      </c>
    </row>
    <row r="20" spans="1:28" s="22" customFormat="1" ht="31.5" x14ac:dyDescent="0.25">
      <c r="A20" s="24" t="s">
        <v>28</v>
      </c>
      <c r="B20" s="25">
        <f t="shared" si="0"/>
        <v>3996</v>
      </c>
      <c r="C20" s="25">
        <f t="shared" si="0"/>
        <v>3996</v>
      </c>
      <c r="D20" s="25">
        <f t="shared" si="0"/>
        <v>0</v>
      </c>
      <c r="E20" s="25"/>
      <c r="F20" s="25"/>
      <c r="G20" s="25">
        <f t="shared" si="1"/>
        <v>0</v>
      </c>
      <c r="H20" s="25"/>
      <c r="I20" s="25"/>
      <c r="J20" s="25">
        <f t="shared" si="2"/>
        <v>0</v>
      </c>
      <c r="K20" s="25">
        <v>3996</v>
      </c>
      <c r="L20" s="25">
        <v>3996</v>
      </c>
      <c r="M20" s="25">
        <f t="shared" si="3"/>
        <v>0</v>
      </c>
      <c r="N20" s="25"/>
      <c r="O20" s="25"/>
      <c r="P20" s="25">
        <f t="shared" si="4"/>
        <v>0</v>
      </c>
      <c r="Q20" s="25"/>
      <c r="R20" s="25"/>
      <c r="S20" s="25">
        <f t="shared" si="5"/>
        <v>0</v>
      </c>
      <c r="T20" s="25"/>
      <c r="U20" s="25"/>
      <c r="V20" s="25">
        <f t="shared" si="6"/>
        <v>0</v>
      </c>
      <c r="W20" s="25"/>
      <c r="X20" s="25"/>
      <c r="Y20" s="25">
        <f t="shared" si="7"/>
        <v>0</v>
      </c>
      <c r="Z20" s="25"/>
      <c r="AA20" s="25"/>
      <c r="AB20" s="25">
        <f t="shared" si="8"/>
        <v>0</v>
      </c>
    </row>
    <row r="21" spans="1:28" s="22" customFormat="1" ht="31.5" x14ac:dyDescent="0.25">
      <c r="A21" s="24" t="s">
        <v>29</v>
      </c>
      <c r="B21" s="25">
        <f t="shared" si="0"/>
        <v>3000</v>
      </c>
      <c r="C21" s="25">
        <f t="shared" si="0"/>
        <v>3000</v>
      </c>
      <c r="D21" s="25">
        <f t="shared" si="0"/>
        <v>0</v>
      </c>
      <c r="E21" s="25"/>
      <c r="F21" s="25"/>
      <c r="G21" s="25">
        <f t="shared" si="1"/>
        <v>0</v>
      </c>
      <c r="H21" s="25"/>
      <c r="I21" s="25"/>
      <c r="J21" s="25">
        <f t="shared" si="2"/>
        <v>0</v>
      </c>
      <c r="K21" s="25">
        <v>3000</v>
      </c>
      <c r="L21" s="25">
        <v>3000</v>
      </c>
      <c r="M21" s="25">
        <f t="shared" si="3"/>
        <v>0</v>
      </c>
      <c r="N21" s="25"/>
      <c r="O21" s="25"/>
      <c r="P21" s="25">
        <f t="shared" si="4"/>
        <v>0</v>
      </c>
      <c r="Q21" s="25"/>
      <c r="R21" s="25"/>
      <c r="S21" s="25">
        <f t="shared" si="5"/>
        <v>0</v>
      </c>
      <c r="T21" s="25"/>
      <c r="U21" s="25"/>
      <c r="V21" s="25">
        <f t="shared" si="6"/>
        <v>0</v>
      </c>
      <c r="W21" s="25"/>
      <c r="X21" s="25"/>
      <c r="Y21" s="25">
        <f t="shared" si="7"/>
        <v>0</v>
      </c>
      <c r="Z21" s="25"/>
      <c r="AA21" s="25"/>
      <c r="AB21" s="25">
        <f t="shared" si="8"/>
        <v>0</v>
      </c>
    </row>
    <row r="22" spans="1:28" s="22" customFormat="1" ht="31.5" x14ac:dyDescent="0.25">
      <c r="A22" s="24" t="s">
        <v>30</v>
      </c>
      <c r="B22" s="25">
        <f t="shared" si="0"/>
        <v>3899</v>
      </c>
      <c r="C22" s="25">
        <f t="shared" si="0"/>
        <v>3899</v>
      </c>
      <c r="D22" s="25">
        <f t="shared" si="0"/>
        <v>0</v>
      </c>
      <c r="E22" s="25"/>
      <c r="F22" s="25"/>
      <c r="G22" s="25">
        <f t="shared" si="1"/>
        <v>0</v>
      </c>
      <c r="H22" s="25"/>
      <c r="I22" s="25"/>
      <c r="J22" s="25">
        <f t="shared" si="2"/>
        <v>0</v>
      </c>
      <c r="K22" s="25">
        <v>3899</v>
      </c>
      <c r="L22" s="25">
        <v>3899</v>
      </c>
      <c r="M22" s="25">
        <f t="shared" si="3"/>
        <v>0</v>
      </c>
      <c r="N22" s="25"/>
      <c r="O22" s="25"/>
      <c r="P22" s="25">
        <f t="shared" si="4"/>
        <v>0</v>
      </c>
      <c r="Q22" s="25"/>
      <c r="R22" s="25"/>
      <c r="S22" s="25">
        <f t="shared" si="5"/>
        <v>0</v>
      </c>
      <c r="T22" s="25"/>
      <c r="U22" s="25"/>
      <c r="V22" s="25">
        <f t="shared" si="6"/>
        <v>0</v>
      </c>
      <c r="W22" s="25"/>
      <c r="X22" s="25"/>
      <c r="Y22" s="25">
        <f t="shared" si="7"/>
        <v>0</v>
      </c>
      <c r="Z22" s="25"/>
      <c r="AA22" s="25"/>
      <c r="AB22" s="25">
        <f t="shared" si="8"/>
        <v>0</v>
      </c>
    </row>
    <row r="23" spans="1:28" s="22" customFormat="1" ht="31.5" x14ac:dyDescent="0.25">
      <c r="A23" s="24" t="s">
        <v>31</v>
      </c>
      <c r="B23" s="25">
        <f t="shared" si="0"/>
        <v>3985</v>
      </c>
      <c r="C23" s="25">
        <f t="shared" si="0"/>
        <v>3985</v>
      </c>
      <c r="D23" s="25">
        <f t="shared" si="0"/>
        <v>0</v>
      </c>
      <c r="E23" s="25"/>
      <c r="F23" s="25"/>
      <c r="G23" s="25">
        <f t="shared" si="1"/>
        <v>0</v>
      </c>
      <c r="H23" s="25"/>
      <c r="I23" s="25"/>
      <c r="J23" s="25">
        <f t="shared" si="2"/>
        <v>0</v>
      </c>
      <c r="K23" s="25">
        <v>3985</v>
      </c>
      <c r="L23" s="25">
        <v>3985</v>
      </c>
      <c r="M23" s="25">
        <f t="shared" si="3"/>
        <v>0</v>
      </c>
      <c r="N23" s="25"/>
      <c r="O23" s="25"/>
      <c r="P23" s="25">
        <f t="shared" si="4"/>
        <v>0</v>
      </c>
      <c r="Q23" s="25"/>
      <c r="R23" s="25"/>
      <c r="S23" s="25">
        <f t="shared" si="5"/>
        <v>0</v>
      </c>
      <c r="T23" s="25"/>
      <c r="U23" s="25"/>
      <c r="V23" s="25">
        <f t="shared" si="6"/>
        <v>0</v>
      </c>
      <c r="W23" s="25"/>
      <c r="X23" s="25"/>
      <c r="Y23" s="25">
        <f t="shared" si="7"/>
        <v>0</v>
      </c>
      <c r="Z23" s="25"/>
      <c r="AA23" s="25"/>
      <c r="AB23" s="25">
        <f t="shared" si="8"/>
        <v>0</v>
      </c>
    </row>
    <row r="24" spans="1:28" s="22" customFormat="1" ht="31.5" x14ac:dyDescent="0.25">
      <c r="A24" s="24" t="s">
        <v>32</v>
      </c>
      <c r="B24" s="25">
        <f t="shared" si="0"/>
        <v>2996</v>
      </c>
      <c r="C24" s="25">
        <f t="shared" si="0"/>
        <v>2996</v>
      </c>
      <c r="D24" s="25">
        <f t="shared" si="0"/>
        <v>0</v>
      </c>
      <c r="E24" s="25"/>
      <c r="F24" s="25"/>
      <c r="G24" s="25">
        <f t="shared" si="1"/>
        <v>0</v>
      </c>
      <c r="H24" s="25"/>
      <c r="I24" s="25"/>
      <c r="J24" s="25">
        <f t="shared" si="2"/>
        <v>0</v>
      </c>
      <c r="K24" s="25">
        <v>2996</v>
      </c>
      <c r="L24" s="25">
        <v>2996</v>
      </c>
      <c r="M24" s="25">
        <f t="shared" si="3"/>
        <v>0</v>
      </c>
      <c r="N24" s="25"/>
      <c r="O24" s="25"/>
      <c r="P24" s="25">
        <f t="shared" si="4"/>
        <v>0</v>
      </c>
      <c r="Q24" s="25"/>
      <c r="R24" s="25"/>
      <c r="S24" s="25">
        <f t="shared" si="5"/>
        <v>0</v>
      </c>
      <c r="T24" s="25"/>
      <c r="U24" s="25"/>
      <c r="V24" s="25">
        <f t="shared" si="6"/>
        <v>0</v>
      </c>
      <c r="W24" s="25"/>
      <c r="X24" s="25"/>
      <c r="Y24" s="25">
        <f t="shared" si="7"/>
        <v>0</v>
      </c>
      <c r="Z24" s="25"/>
      <c r="AA24" s="25"/>
      <c r="AB24" s="25">
        <f t="shared" si="8"/>
        <v>0</v>
      </c>
    </row>
    <row r="25" spans="1:28" s="22" customFormat="1" ht="31.5" x14ac:dyDescent="0.25">
      <c r="A25" s="24" t="s">
        <v>33</v>
      </c>
      <c r="B25" s="25">
        <f t="shared" si="0"/>
        <v>4000</v>
      </c>
      <c r="C25" s="25">
        <f t="shared" si="0"/>
        <v>4000</v>
      </c>
      <c r="D25" s="25">
        <f t="shared" si="0"/>
        <v>0</v>
      </c>
      <c r="E25" s="25"/>
      <c r="F25" s="25"/>
      <c r="G25" s="25">
        <f t="shared" si="1"/>
        <v>0</v>
      </c>
      <c r="H25" s="25"/>
      <c r="I25" s="25"/>
      <c r="J25" s="25">
        <f t="shared" si="2"/>
        <v>0</v>
      </c>
      <c r="K25" s="25">
        <v>4000</v>
      </c>
      <c r="L25" s="25">
        <v>4000</v>
      </c>
      <c r="M25" s="25">
        <f t="shared" si="3"/>
        <v>0</v>
      </c>
      <c r="N25" s="25"/>
      <c r="O25" s="25"/>
      <c r="P25" s="25">
        <f t="shared" si="4"/>
        <v>0</v>
      </c>
      <c r="Q25" s="25"/>
      <c r="R25" s="25"/>
      <c r="S25" s="25">
        <f t="shared" si="5"/>
        <v>0</v>
      </c>
      <c r="T25" s="25"/>
      <c r="U25" s="25"/>
      <c r="V25" s="25">
        <f t="shared" si="6"/>
        <v>0</v>
      </c>
      <c r="W25" s="25"/>
      <c r="X25" s="25"/>
      <c r="Y25" s="25">
        <f t="shared" si="7"/>
        <v>0</v>
      </c>
      <c r="Z25" s="25"/>
      <c r="AA25" s="25"/>
      <c r="AB25" s="25">
        <f t="shared" si="8"/>
        <v>0</v>
      </c>
    </row>
    <row r="26" spans="1:28" s="22" customFormat="1" ht="31.5" x14ac:dyDescent="0.25">
      <c r="A26" s="24" t="s">
        <v>34</v>
      </c>
      <c r="B26" s="25">
        <f t="shared" si="0"/>
        <v>2996</v>
      </c>
      <c r="C26" s="25">
        <f t="shared" si="0"/>
        <v>2996</v>
      </c>
      <c r="D26" s="25">
        <f t="shared" si="0"/>
        <v>0</v>
      </c>
      <c r="E26" s="25"/>
      <c r="F26" s="25"/>
      <c r="G26" s="25">
        <f t="shared" si="1"/>
        <v>0</v>
      </c>
      <c r="H26" s="25"/>
      <c r="I26" s="25"/>
      <c r="J26" s="25">
        <f t="shared" si="2"/>
        <v>0</v>
      </c>
      <c r="K26" s="25">
        <v>2996</v>
      </c>
      <c r="L26" s="25">
        <v>2996</v>
      </c>
      <c r="M26" s="25">
        <f t="shared" si="3"/>
        <v>0</v>
      </c>
      <c r="N26" s="25"/>
      <c r="O26" s="25"/>
      <c r="P26" s="25">
        <f t="shared" si="4"/>
        <v>0</v>
      </c>
      <c r="Q26" s="25"/>
      <c r="R26" s="25"/>
      <c r="S26" s="25">
        <f t="shared" si="5"/>
        <v>0</v>
      </c>
      <c r="T26" s="25"/>
      <c r="U26" s="25"/>
      <c r="V26" s="25">
        <f t="shared" si="6"/>
        <v>0</v>
      </c>
      <c r="W26" s="25"/>
      <c r="X26" s="25"/>
      <c r="Y26" s="25">
        <f t="shared" si="7"/>
        <v>0</v>
      </c>
      <c r="Z26" s="25"/>
      <c r="AA26" s="25"/>
      <c r="AB26" s="25">
        <f t="shared" si="8"/>
        <v>0</v>
      </c>
    </row>
    <row r="27" spans="1:28" s="22" customFormat="1" ht="31.5" x14ac:dyDescent="0.25">
      <c r="A27" s="24" t="s">
        <v>35</v>
      </c>
      <c r="B27" s="25">
        <f t="shared" si="0"/>
        <v>2999</v>
      </c>
      <c r="C27" s="25">
        <f t="shared" si="0"/>
        <v>2999</v>
      </c>
      <c r="D27" s="25">
        <f t="shared" si="0"/>
        <v>0</v>
      </c>
      <c r="E27" s="25"/>
      <c r="F27" s="25"/>
      <c r="G27" s="25">
        <f t="shared" si="1"/>
        <v>0</v>
      </c>
      <c r="H27" s="25"/>
      <c r="I27" s="25"/>
      <c r="J27" s="25">
        <f t="shared" si="2"/>
        <v>0</v>
      </c>
      <c r="K27" s="25">
        <v>2999</v>
      </c>
      <c r="L27" s="25">
        <v>2999</v>
      </c>
      <c r="M27" s="25">
        <f t="shared" si="3"/>
        <v>0</v>
      </c>
      <c r="N27" s="25"/>
      <c r="O27" s="25"/>
      <c r="P27" s="25">
        <f t="shared" si="4"/>
        <v>0</v>
      </c>
      <c r="Q27" s="25"/>
      <c r="R27" s="25"/>
      <c r="S27" s="25">
        <f t="shared" si="5"/>
        <v>0</v>
      </c>
      <c r="T27" s="25"/>
      <c r="U27" s="25"/>
      <c r="V27" s="25">
        <f t="shared" si="6"/>
        <v>0</v>
      </c>
      <c r="W27" s="25"/>
      <c r="X27" s="25"/>
      <c r="Y27" s="25">
        <f t="shared" si="7"/>
        <v>0</v>
      </c>
      <c r="Z27" s="25"/>
      <c r="AA27" s="25"/>
      <c r="AB27" s="25">
        <f t="shared" si="8"/>
        <v>0</v>
      </c>
    </row>
    <row r="28" spans="1:28" s="22" customFormat="1" ht="31.5" x14ac:dyDescent="0.25">
      <c r="A28" s="24" t="s">
        <v>36</v>
      </c>
      <c r="B28" s="25">
        <f t="shared" si="0"/>
        <v>1782</v>
      </c>
      <c r="C28" s="25">
        <f t="shared" si="0"/>
        <v>1782</v>
      </c>
      <c r="D28" s="25">
        <f t="shared" si="0"/>
        <v>0</v>
      </c>
      <c r="E28" s="25"/>
      <c r="F28" s="25"/>
      <c r="G28" s="25">
        <f t="shared" si="1"/>
        <v>0</v>
      </c>
      <c r="H28" s="25"/>
      <c r="I28" s="25"/>
      <c r="J28" s="25">
        <f t="shared" si="2"/>
        <v>0</v>
      </c>
      <c r="K28" s="25">
        <v>1782</v>
      </c>
      <c r="L28" s="25">
        <v>1782</v>
      </c>
      <c r="M28" s="25">
        <f t="shared" si="3"/>
        <v>0</v>
      </c>
      <c r="N28" s="25"/>
      <c r="O28" s="25"/>
      <c r="P28" s="25">
        <f t="shared" si="4"/>
        <v>0</v>
      </c>
      <c r="Q28" s="25"/>
      <c r="R28" s="25"/>
      <c r="S28" s="25">
        <f t="shared" si="5"/>
        <v>0</v>
      </c>
      <c r="T28" s="25"/>
      <c r="U28" s="25"/>
      <c r="V28" s="25">
        <f t="shared" si="6"/>
        <v>0</v>
      </c>
      <c r="W28" s="25"/>
      <c r="X28" s="25"/>
      <c r="Y28" s="25">
        <f t="shared" si="7"/>
        <v>0</v>
      </c>
      <c r="Z28" s="25"/>
      <c r="AA28" s="25"/>
      <c r="AB28" s="25">
        <f t="shared" si="8"/>
        <v>0</v>
      </c>
    </row>
    <row r="29" spans="1:28" s="21" customFormat="1" x14ac:dyDescent="0.25">
      <c r="A29" s="26" t="s">
        <v>37</v>
      </c>
      <c r="B29" s="23">
        <f t="shared" si="0"/>
        <v>2692710</v>
      </c>
      <c r="C29" s="23">
        <f t="shared" si="0"/>
        <v>2797737</v>
      </c>
      <c r="D29" s="23">
        <f t="shared" si="0"/>
        <v>105027</v>
      </c>
      <c r="E29" s="23">
        <f>SUM(E30)</f>
        <v>0</v>
      </c>
      <c r="F29" s="23">
        <f>SUM(F30)</f>
        <v>105027</v>
      </c>
      <c r="G29" s="23">
        <f t="shared" si="1"/>
        <v>105027</v>
      </c>
      <c r="H29" s="23">
        <f>SUM(H30)</f>
        <v>0</v>
      </c>
      <c r="I29" s="23">
        <f>SUM(I30)</f>
        <v>0</v>
      </c>
      <c r="J29" s="23">
        <f t="shared" si="2"/>
        <v>0</v>
      </c>
      <c r="K29" s="23">
        <f>SUM(K30)</f>
        <v>33385</v>
      </c>
      <c r="L29" s="23">
        <f>SUM(L30)</f>
        <v>33385</v>
      </c>
      <c r="M29" s="23">
        <f t="shared" si="3"/>
        <v>0</v>
      </c>
      <c r="N29" s="23">
        <f>SUM(N30)</f>
        <v>0</v>
      </c>
      <c r="O29" s="23">
        <f>SUM(O30)</f>
        <v>0</v>
      </c>
      <c r="P29" s="23">
        <f t="shared" si="4"/>
        <v>0</v>
      </c>
      <c r="Q29" s="23">
        <f>SUM(Q30)</f>
        <v>0</v>
      </c>
      <c r="R29" s="23">
        <f>SUM(R30)</f>
        <v>0</v>
      </c>
      <c r="S29" s="23">
        <f t="shared" si="5"/>
        <v>0</v>
      </c>
      <c r="T29" s="23">
        <f>SUM(T30)</f>
        <v>1121628</v>
      </c>
      <c r="U29" s="23">
        <f>SUM(U30)</f>
        <v>1121628</v>
      </c>
      <c r="V29" s="23">
        <f t="shared" si="6"/>
        <v>0</v>
      </c>
      <c r="W29" s="23">
        <f>SUM(W30)</f>
        <v>1460885</v>
      </c>
      <c r="X29" s="23">
        <f>SUM(X30)</f>
        <v>1460885</v>
      </c>
      <c r="Y29" s="23">
        <f t="shared" si="7"/>
        <v>0</v>
      </c>
      <c r="Z29" s="23">
        <f>SUM(Z30)</f>
        <v>76812</v>
      </c>
      <c r="AA29" s="23">
        <f>SUM(AA30)</f>
        <v>76812</v>
      </c>
      <c r="AB29" s="23">
        <f t="shared" si="8"/>
        <v>0</v>
      </c>
    </row>
    <row r="30" spans="1:28" s="21" customFormat="1" x14ac:dyDescent="0.25">
      <c r="A30" s="19" t="s">
        <v>20</v>
      </c>
      <c r="B30" s="23">
        <f t="shared" si="0"/>
        <v>2692710</v>
      </c>
      <c r="C30" s="23">
        <f t="shared" si="0"/>
        <v>2797737</v>
      </c>
      <c r="D30" s="23">
        <f t="shared" si="0"/>
        <v>105027</v>
      </c>
      <c r="E30" s="23">
        <f>SUM(E31:E49)</f>
        <v>0</v>
      </c>
      <c r="F30" s="23">
        <f>SUM(F31:F49)</f>
        <v>105027</v>
      </c>
      <c r="G30" s="23">
        <f t="shared" si="1"/>
        <v>105027</v>
      </c>
      <c r="H30" s="23">
        <f>SUM(H31:H49)</f>
        <v>0</v>
      </c>
      <c r="I30" s="23">
        <f>SUM(I31:I49)</f>
        <v>0</v>
      </c>
      <c r="J30" s="23">
        <f t="shared" si="2"/>
        <v>0</v>
      </c>
      <c r="K30" s="23">
        <f>SUM(K31:K49)</f>
        <v>33385</v>
      </c>
      <c r="L30" s="23">
        <f>SUM(L31:L49)</f>
        <v>33385</v>
      </c>
      <c r="M30" s="23">
        <f t="shared" si="3"/>
        <v>0</v>
      </c>
      <c r="N30" s="23">
        <f>SUM(N31:N49)</f>
        <v>0</v>
      </c>
      <c r="O30" s="23">
        <f>SUM(O31:O49)</f>
        <v>0</v>
      </c>
      <c r="P30" s="23">
        <f t="shared" si="4"/>
        <v>0</v>
      </c>
      <c r="Q30" s="23">
        <f>SUM(Q31:Q49)</f>
        <v>0</v>
      </c>
      <c r="R30" s="23">
        <f>SUM(R31:R49)</f>
        <v>0</v>
      </c>
      <c r="S30" s="23">
        <f t="shared" si="5"/>
        <v>0</v>
      </c>
      <c r="T30" s="23">
        <f>SUM(T31:T49)</f>
        <v>1121628</v>
      </c>
      <c r="U30" s="23">
        <f>SUM(U31:U49)</f>
        <v>1121628</v>
      </c>
      <c r="V30" s="23">
        <f t="shared" si="6"/>
        <v>0</v>
      </c>
      <c r="W30" s="23">
        <f>SUM(W31:W49)</f>
        <v>1460885</v>
      </c>
      <c r="X30" s="23">
        <f>SUM(X31:X49)</f>
        <v>1460885</v>
      </c>
      <c r="Y30" s="23">
        <f t="shared" si="7"/>
        <v>0</v>
      </c>
      <c r="Z30" s="23">
        <f>SUM(Z31:Z49)</f>
        <v>76812</v>
      </c>
      <c r="AA30" s="23">
        <f>SUM(AA31:AA49)</f>
        <v>76812</v>
      </c>
      <c r="AB30" s="23">
        <f t="shared" si="8"/>
        <v>0</v>
      </c>
    </row>
    <row r="31" spans="1:28" s="22" customFormat="1" x14ac:dyDescent="0.25">
      <c r="A31" s="27" t="s">
        <v>38</v>
      </c>
      <c r="B31" s="28">
        <f t="shared" si="0"/>
        <v>55000</v>
      </c>
      <c r="C31" s="28">
        <f t="shared" si="0"/>
        <v>55000</v>
      </c>
      <c r="D31" s="28">
        <f t="shared" si="0"/>
        <v>0</v>
      </c>
      <c r="E31" s="28">
        <f>26500-26500</f>
        <v>0</v>
      </c>
      <c r="F31" s="28">
        <f>26500-26500</f>
        <v>0</v>
      </c>
      <c r="G31" s="28">
        <f t="shared" si="1"/>
        <v>0</v>
      </c>
      <c r="H31" s="28"/>
      <c r="I31" s="28"/>
      <c r="J31" s="28">
        <f t="shared" si="2"/>
        <v>0</v>
      </c>
      <c r="K31" s="28">
        <v>28500</v>
      </c>
      <c r="L31" s="28">
        <v>28500</v>
      </c>
      <c r="M31" s="28">
        <f t="shared" si="3"/>
        <v>0</v>
      </c>
      <c r="N31" s="28"/>
      <c r="O31" s="28"/>
      <c r="P31" s="28">
        <f t="shared" si="4"/>
        <v>0</v>
      </c>
      <c r="Q31" s="28"/>
      <c r="R31" s="28"/>
      <c r="S31" s="28">
        <f t="shared" si="5"/>
        <v>0</v>
      </c>
      <c r="T31" s="28"/>
      <c r="U31" s="28"/>
      <c r="V31" s="28">
        <f t="shared" si="6"/>
        <v>0</v>
      </c>
      <c r="W31" s="28"/>
      <c r="X31" s="28"/>
      <c r="Y31" s="28">
        <f t="shared" si="7"/>
        <v>0</v>
      </c>
      <c r="Z31" s="28">
        <v>26500</v>
      </c>
      <c r="AA31" s="28">
        <v>26500</v>
      </c>
      <c r="AB31" s="28">
        <f t="shared" si="8"/>
        <v>0</v>
      </c>
    </row>
    <row r="32" spans="1:28" s="41" customFormat="1" x14ac:dyDescent="0.25">
      <c r="A32" s="39" t="s">
        <v>39</v>
      </c>
      <c r="B32" s="62">
        <f t="shared" si="0"/>
        <v>0</v>
      </c>
      <c r="C32" s="62">
        <f t="shared" si="0"/>
        <v>14949</v>
      </c>
      <c r="D32" s="62">
        <f t="shared" si="0"/>
        <v>14949</v>
      </c>
      <c r="E32" s="62">
        <v>0</v>
      </c>
      <c r="F32" s="62">
        <f>14949</f>
        <v>14949</v>
      </c>
      <c r="G32" s="62">
        <f t="shared" si="1"/>
        <v>14949</v>
      </c>
      <c r="H32" s="62"/>
      <c r="I32" s="62"/>
      <c r="J32" s="62">
        <f t="shared" si="2"/>
        <v>0</v>
      </c>
      <c r="K32" s="62"/>
      <c r="L32" s="62"/>
      <c r="M32" s="62">
        <f t="shared" si="3"/>
        <v>0</v>
      </c>
      <c r="N32" s="62"/>
      <c r="O32" s="62"/>
      <c r="P32" s="62">
        <f t="shared" si="4"/>
        <v>0</v>
      </c>
      <c r="Q32" s="62"/>
      <c r="R32" s="62"/>
      <c r="S32" s="62">
        <f t="shared" si="5"/>
        <v>0</v>
      </c>
      <c r="T32" s="62"/>
      <c r="U32" s="62"/>
      <c r="V32" s="62">
        <f t="shared" si="6"/>
        <v>0</v>
      </c>
      <c r="W32" s="62"/>
      <c r="X32" s="62"/>
      <c r="Y32" s="62">
        <f t="shared" si="7"/>
        <v>0</v>
      </c>
      <c r="Z32" s="62"/>
      <c r="AA32" s="62"/>
      <c r="AB32" s="62">
        <f t="shared" si="8"/>
        <v>0</v>
      </c>
    </row>
    <row r="33" spans="1:28" s="41" customFormat="1" x14ac:dyDescent="0.25">
      <c r="A33" s="39" t="s">
        <v>40</v>
      </c>
      <c r="B33" s="62">
        <f t="shared" si="0"/>
        <v>0</v>
      </c>
      <c r="C33" s="62">
        <f t="shared" si="0"/>
        <v>31298</v>
      </c>
      <c r="D33" s="62">
        <f t="shared" si="0"/>
        <v>31298</v>
      </c>
      <c r="E33" s="62">
        <f>0</f>
        <v>0</v>
      </c>
      <c r="F33" s="62">
        <f>31298</f>
        <v>31298</v>
      </c>
      <c r="G33" s="62">
        <f t="shared" si="1"/>
        <v>31298</v>
      </c>
      <c r="H33" s="62"/>
      <c r="I33" s="62"/>
      <c r="J33" s="62">
        <f t="shared" si="2"/>
        <v>0</v>
      </c>
      <c r="K33" s="62"/>
      <c r="L33" s="62"/>
      <c r="M33" s="62">
        <f t="shared" si="3"/>
        <v>0</v>
      </c>
      <c r="N33" s="62"/>
      <c r="O33" s="62"/>
      <c r="P33" s="62">
        <f t="shared" si="4"/>
        <v>0</v>
      </c>
      <c r="Q33" s="62"/>
      <c r="R33" s="62"/>
      <c r="S33" s="62">
        <f t="shared" si="5"/>
        <v>0</v>
      </c>
      <c r="T33" s="62"/>
      <c r="U33" s="62"/>
      <c r="V33" s="62">
        <f t="shared" si="6"/>
        <v>0</v>
      </c>
      <c r="W33" s="62"/>
      <c r="X33" s="62"/>
      <c r="Y33" s="62">
        <f t="shared" si="7"/>
        <v>0</v>
      </c>
      <c r="Z33" s="62"/>
      <c r="AA33" s="62"/>
      <c r="AB33" s="62">
        <f t="shared" si="8"/>
        <v>0</v>
      </c>
    </row>
    <row r="34" spans="1:28" s="64" customFormat="1" x14ac:dyDescent="0.25">
      <c r="A34" s="39" t="s">
        <v>41</v>
      </c>
      <c r="B34" s="62">
        <f t="shared" si="0"/>
        <v>0</v>
      </c>
      <c r="C34" s="62">
        <f t="shared" si="0"/>
        <v>46781</v>
      </c>
      <c r="D34" s="62">
        <f t="shared" si="0"/>
        <v>46781</v>
      </c>
      <c r="E34" s="62"/>
      <c r="F34" s="62">
        <f>46781</f>
        <v>46781</v>
      </c>
      <c r="G34" s="62">
        <f t="shared" si="1"/>
        <v>46781</v>
      </c>
      <c r="H34" s="63"/>
      <c r="I34" s="63"/>
      <c r="J34" s="62">
        <f t="shared" si="2"/>
        <v>0</v>
      </c>
      <c r="K34" s="62"/>
      <c r="L34" s="62"/>
      <c r="M34" s="62">
        <f t="shared" si="3"/>
        <v>0</v>
      </c>
      <c r="N34" s="62"/>
      <c r="O34" s="62"/>
      <c r="P34" s="62">
        <f t="shared" si="4"/>
        <v>0</v>
      </c>
      <c r="Q34" s="62"/>
      <c r="R34" s="62"/>
      <c r="S34" s="62">
        <f t="shared" si="5"/>
        <v>0</v>
      </c>
      <c r="T34" s="62"/>
      <c r="U34" s="62"/>
      <c r="V34" s="62">
        <f t="shared" si="6"/>
        <v>0</v>
      </c>
      <c r="W34" s="62"/>
      <c r="X34" s="62"/>
      <c r="Y34" s="62">
        <f t="shared" si="7"/>
        <v>0</v>
      </c>
      <c r="Z34" s="62"/>
      <c r="AA34" s="62"/>
      <c r="AB34" s="62">
        <f t="shared" si="8"/>
        <v>0</v>
      </c>
    </row>
    <row r="35" spans="1:28" s="64" customFormat="1" x14ac:dyDescent="0.25">
      <c r="A35" s="39" t="s">
        <v>42</v>
      </c>
      <c r="B35" s="62">
        <f t="shared" si="0"/>
        <v>0</v>
      </c>
      <c r="C35" s="62">
        <f t="shared" si="0"/>
        <v>11999</v>
      </c>
      <c r="D35" s="62">
        <f t="shared" si="0"/>
        <v>11999</v>
      </c>
      <c r="E35" s="62"/>
      <c r="F35" s="62">
        <v>11999</v>
      </c>
      <c r="G35" s="62">
        <f t="shared" si="1"/>
        <v>11999</v>
      </c>
      <c r="H35" s="63"/>
      <c r="I35" s="63"/>
      <c r="J35" s="62">
        <f t="shared" si="2"/>
        <v>0</v>
      </c>
      <c r="K35" s="62"/>
      <c r="L35" s="62"/>
      <c r="M35" s="62">
        <f t="shared" si="3"/>
        <v>0</v>
      </c>
      <c r="N35" s="62"/>
      <c r="O35" s="62"/>
      <c r="P35" s="62">
        <f t="shared" si="4"/>
        <v>0</v>
      </c>
      <c r="Q35" s="62"/>
      <c r="R35" s="62"/>
      <c r="S35" s="62">
        <f t="shared" si="5"/>
        <v>0</v>
      </c>
      <c r="T35" s="62"/>
      <c r="U35" s="62"/>
      <c r="V35" s="62">
        <f t="shared" si="6"/>
        <v>0</v>
      </c>
      <c r="W35" s="62"/>
      <c r="X35" s="62"/>
      <c r="Y35" s="62">
        <f t="shared" si="7"/>
        <v>0</v>
      </c>
      <c r="Z35" s="62"/>
      <c r="AA35" s="62"/>
      <c r="AB35" s="62">
        <f t="shared" si="8"/>
        <v>0</v>
      </c>
    </row>
    <row r="36" spans="1:28" s="22" customFormat="1" ht="31.5" x14ac:dyDescent="0.25">
      <c r="A36" s="29" t="s">
        <v>43</v>
      </c>
      <c r="B36" s="28">
        <f t="shared" si="0"/>
        <v>29172</v>
      </c>
      <c r="C36" s="28">
        <f t="shared" si="0"/>
        <v>29172</v>
      </c>
      <c r="D36" s="28">
        <f t="shared" si="0"/>
        <v>0</v>
      </c>
      <c r="E36" s="28"/>
      <c r="F36" s="28"/>
      <c r="G36" s="28">
        <f t="shared" si="1"/>
        <v>0</v>
      </c>
      <c r="H36" s="28"/>
      <c r="I36" s="28"/>
      <c r="J36" s="28">
        <f t="shared" si="2"/>
        <v>0</v>
      </c>
      <c r="K36" s="28"/>
      <c r="L36" s="28"/>
      <c r="M36" s="28">
        <f t="shared" si="3"/>
        <v>0</v>
      </c>
      <c r="N36" s="28"/>
      <c r="O36" s="28"/>
      <c r="P36" s="28">
        <f t="shared" si="4"/>
        <v>0</v>
      </c>
      <c r="Q36" s="28"/>
      <c r="R36" s="28"/>
      <c r="S36" s="28">
        <f t="shared" si="5"/>
        <v>0</v>
      </c>
      <c r="T36" s="28"/>
      <c r="U36" s="28"/>
      <c r="V36" s="28">
        <f t="shared" si="6"/>
        <v>0</v>
      </c>
      <c r="W36" s="28">
        <v>29172</v>
      </c>
      <c r="X36" s="28">
        <v>29172</v>
      </c>
      <c r="Y36" s="28">
        <f t="shared" si="7"/>
        <v>0</v>
      </c>
      <c r="Z36" s="28"/>
      <c r="AA36" s="28"/>
      <c r="AB36" s="28">
        <f t="shared" si="8"/>
        <v>0</v>
      </c>
    </row>
    <row r="37" spans="1:28" s="22" customFormat="1" ht="31.5" x14ac:dyDescent="0.25">
      <c r="A37" s="29" t="s">
        <v>44</v>
      </c>
      <c r="B37" s="28">
        <f t="shared" si="0"/>
        <v>4885</v>
      </c>
      <c r="C37" s="28">
        <f t="shared" si="0"/>
        <v>4885</v>
      </c>
      <c r="D37" s="28">
        <f t="shared" si="0"/>
        <v>0</v>
      </c>
      <c r="E37" s="28"/>
      <c r="F37" s="28"/>
      <c r="G37" s="28">
        <f t="shared" si="1"/>
        <v>0</v>
      </c>
      <c r="H37" s="28"/>
      <c r="I37" s="28"/>
      <c r="J37" s="28">
        <f t="shared" si="2"/>
        <v>0</v>
      </c>
      <c r="K37" s="28">
        <v>4885</v>
      </c>
      <c r="L37" s="28">
        <v>4885</v>
      </c>
      <c r="M37" s="28">
        <f t="shared" si="3"/>
        <v>0</v>
      </c>
      <c r="N37" s="28"/>
      <c r="O37" s="28"/>
      <c r="P37" s="28">
        <f t="shared" si="4"/>
        <v>0</v>
      </c>
      <c r="Q37" s="28"/>
      <c r="R37" s="28"/>
      <c r="S37" s="28">
        <f t="shared" si="5"/>
        <v>0</v>
      </c>
      <c r="T37" s="28"/>
      <c r="U37" s="28"/>
      <c r="V37" s="28">
        <f t="shared" si="6"/>
        <v>0</v>
      </c>
      <c r="W37" s="28">
        <f>71877-71877</f>
        <v>0</v>
      </c>
      <c r="X37" s="28">
        <f>71877-71877</f>
        <v>0</v>
      </c>
      <c r="Y37" s="28">
        <f t="shared" si="7"/>
        <v>0</v>
      </c>
      <c r="Z37" s="28"/>
      <c r="AA37" s="28"/>
      <c r="AB37" s="28">
        <f t="shared" si="8"/>
        <v>0</v>
      </c>
    </row>
    <row r="38" spans="1:28" s="22" customFormat="1" ht="63" x14ac:dyDescent="0.25">
      <c r="A38" s="29" t="s">
        <v>45</v>
      </c>
      <c r="B38" s="28">
        <f t="shared" si="0"/>
        <v>71877</v>
      </c>
      <c r="C38" s="28">
        <f t="shared" si="0"/>
        <v>71877</v>
      </c>
      <c r="D38" s="28">
        <f t="shared" si="0"/>
        <v>0</v>
      </c>
      <c r="E38" s="28"/>
      <c r="F38" s="28"/>
      <c r="G38" s="28">
        <f t="shared" si="1"/>
        <v>0</v>
      </c>
      <c r="H38" s="28"/>
      <c r="I38" s="28"/>
      <c r="J38" s="28">
        <f t="shared" si="2"/>
        <v>0</v>
      </c>
      <c r="K38" s="28"/>
      <c r="L38" s="28"/>
      <c r="M38" s="28">
        <f t="shared" si="3"/>
        <v>0</v>
      </c>
      <c r="N38" s="28"/>
      <c r="O38" s="28"/>
      <c r="P38" s="28">
        <f t="shared" si="4"/>
        <v>0</v>
      </c>
      <c r="Q38" s="28"/>
      <c r="R38" s="28"/>
      <c r="S38" s="28">
        <f t="shared" si="5"/>
        <v>0</v>
      </c>
      <c r="T38" s="28"/>
      <c r="U38" s="28"/>
      <c r="V38" s="28">
        <f t="shared" si="6"/>
        <v>0</v>
      </c>
      <c r="W38" s="28">
        <v>71877</v>
      </c>
      <c r="X38" s="28">
        <v>71877</v>
      </c>
      <c r="Y38" s="28">
        <f t="shared" si="7"/>
        <v>0</v>
      </c>
      <c r="Z38" s="28"/>
      <c r="AA38" s="28"/>
      <c r="AB38" s="28">
        <f t="shared" si="8"/>
        <v>0</v>
      </c>
    </row>
    <row r="39" spans="1:28" s="22" customFormat="1" ht="31.5" x14ac:dyDescent="0.25">
      <c r="A39" s="29" t="s">
        <v>46</v>
      </c>
      <c r="B39" s="28">
        <f t="shared" si="0"/>
        <v>230400</v>
      </c>
      <c r="C39" s="28">
        <f t="shared" si="0"/>
        <v>230400</v>
      </c>
      <c r="D39" s="28">
        <f t="shared" si="0"/>
        <v>0</v>
      </c>
      <c r="E39" s="28"/>
      <c r="F39" s="28"/>
      <c r="G39" s="28">
        <f t="shared" si="1"/>
        <v>0</v>
      </c>
      <c r="H39" s="28"/>
      <c r="I39" s="28"/>
      <c r="J39" s="28">
        <f t="shared" si="2"/>
        <v>0</v>
      </c>
      <c r="K39" s="28"/>
      <c r="L39" s="28"/>
      <c r="M39" s="28">
        <f t="shared" si="3"/>
        <v>0</v>
      </c>
      <c r="N39" s="28"/>
      <c r="O39" s="28"/>
      <c r="P39" s="28">
        <f t="shared" si="4"/>
        <v>0</v>
      </c>
      <c r="Q39" s="28"/>
      <c r="R39" s="28"/>
      <c r="S39" s="28">
        <f t="shared" si="5"/>
        <v>0</v>
      </c>
      <c r="T39" s="28"/>
      <c r="U39" s="28"/>
      <c r="V39" s="28">
        <f t="shared" si="6"/>
        <v>0</v>
      </c>
      <c r="W39" s="28">
        <v>230400</v>
      </c>
      <c r="X39" s="28">
        <v>230400</v>
      </c>
      <c r="Y39" s="28">
        <f t="shared" si="7"/>
        <v>0</v>
      </c>
      <c r="Z39" s="28"/>
      <c r="AA39" s="28"/>
      <c r="AB39" s="28">
        <f t="shared" si="8"/>
        <v>0</v>
      </c>
    </row>
    <row r="40" spans="1:28" s="22" customFormat="1" ht="31.5" x14ac:dyDescent="0.25">
      <c r="A40" s="29" t="s">
        <v>47</v>
      </c>
      <c r="B40" s="28">
        <f t="shared" si="0"/>
        <v>36466</v>
      </c>
      <c r="C40" s="28">
        <f t="shared" si="0"/>
        <v>36466</v>
      </c>
      <c r="D40" s="28">
        <f t="shared" si="0"/>
        <v>0</v>
      </c>
      <c r="E40" s="28"/>
      <c r="F40" s="28"/>
      <c r="G40" s="28">
        <f t="shared" si="1"/>
        <v>0</v>
      </c>
      <c r="H40" s="28"/>
      <c r="I40" s="28"/>
      <c r="J40" s="28">
        <f t="shared" si="2"/>
        <v>0</v>
      </c>
      <c r="K40" s="28"/>
      <c r="L40" s="28"/>
      <c r="M40" s="28">
        <f t="shared" si="3"/>
        <v>0</v>
      </c>
      <c r="N40" s="28"/>
      <c r="O40" s="28"/>
      <c r="P40" s="28">
        <f t="shared" si="4"/>
        <v>0</v>
      </c>
      <c r="Q40" s="28"/>
      <c r="R40" s="28"/>
      <c r="S40" s="28">
        <f t="shared" si="5"/>
        <v>0</v>
      </c>
      <c r="T40" s="28"/>
      <c r="U40" s="28"/>
      <c r="V40" s="28">
        <f t="shared" si="6"/>
        <v>0</v>
      </c>
      <c r="W40" s="28">
        <v>36466</v>
      </c>
      <c r="X40" s="28">
        <v>36466</v>
      </c>
      <c r="Y40" s="28">
        <f t="shared" si="7"/>
        <v>0</v>
      </c>
      <c r="Z40" s="28"/>
      <c r="AA40" s="28"/>
      <c r="AB40" s="28">
        <f t="shared" si="8"/>
        <v>0</v>
      </c>
    </row>
    <row r="41" spans="1:28" s="22" customFormat="1" ht="31.5" x14ac:dyDescent="0.25">
      <c r="A41" s="29" t="s">
        <v>48</v>
      </c>
      <c r="B41" s="28">
        <f t="shared" si="0"/>
        <v>41033</v>
      </c>
      <c r="C41" s="28">
        <f t="shared" si="0"/>
        <v>41033</v>
      </c>
      <c r="D41" s="28">
        <f t="shared" si="0"/>
        <v>0</v>
      </c>
      <c r="E41" s="28"/>
      <c r="F41" s="28"/>
      <c r="G41" s="28">
        <f t="shared" si="1"/>
        <v>0</v>
      </c>
      <c r="H41" s="28"/>
      <c r="I41" s="28"/>
      <c r="J41" s="28">
        <f t="shared" si="2"/>
        <v>0</v>
      </c>
      <c r="K41" s="28"/>
      <c r="L41" s="28"/>
      <c r="M41" s="28">
        <f t="shared" si="3"/>
        <v>0</v>
      </c>
      <c r="N41" s="28"/>
      <c r="O41" s="28"/>
      <c r="P41" s="28">
        <f t="shared" si="4"/>
        <v>0</v>
      </c>
      <c r="Q41" s="28"/>
      <c r="R41" s="28"/>
      <c r="S41" s="28">
        <f t="shared" si="5"/>
        <v>0</v>
      </c>
      <c r="T41" s="28"/>
      <c r="U41" s="28"/>
      <c r="V41" s="28">
        <f t="shared" si="6"/>
        <v>0</v>
      </c>
      <c r="W41" s="28">
        <v>41033</v>
      </c>
      <c r="X41" s="28">
        <v>41033</v>
      </c>
      <c r="Y41" s="28">
        <f t="shared" si="7"/>
        <v>0</v>
      </c>
      <c r="Z41" s="28"/>
      <c r="AA41" s="28"/>
      <c r="AB41" s="28">
        <f t="shared" si="8"/>
        <v>0</v>
      </c>
    </row>
    <row r="42" spans="1:28" s="22" customFormat="1" ht="31.5" x14ac:dyDescent="0.25">
      <c r="A42" s="29" t="s">
        <v>49</v>
      </c>
      <c r="B42" s="28">
        <f t="shared" si="0"/>
        <v>126272</v>
      </c>
      <c r="C42" s="28">
        <f t="shared" si="0"/>
        <v>126272</v>
      </c>
      <c r="D42" s="28">
        <f t="shared" si="0"/>
        <v>0</v>
      </c>
      <c r="E42" s="28"/>
      <c r="F42" s="28"/>
      <c r="G42" s="28">
        <f t="shared" si="1"/>
        <v>0</v>
      </c>
      <c r="H42" s="28"/>
      <c r="I42" s="28"/>
      <c r="J42" s="28">
        <f t="shared" si="2"/>
        <v>0</v>
      </c>
      <c r="K42" s="28"/>
      <c r="L42" s="28"/>
      <c r="M42" s="28">
        <f t="shared" si="3"/>
        <v>0</v>
      </c>
      <c r="N42" s="28"/>
      <c r="O42" s="28"/>
      <c r="P42" s="28">
        <f t="shared" si="4"/>
        <v>0</v>
      </c>
      <c r="Q42" s="28"/>
      <c r="R42" s="28"/>
      <c r="S42" s="28">
        <f t="shared" si="5"/>
        <v>0</v>
      </c>
      <c r="T42" s="28"/>
      <c r="U42" s="28"/>
      <c r="V42" s="28">
        <f t="shared" si="6"/>
        <v>0</v>
      </c>
      <c r="W42" s="28">
        <v>126272</v>
      </c>
      <c r="X42" s="28">
        <v>126272</v>
      </c>
      <c r="Y42" s="28">
        <f t="shared" si="7"/>
        <v>0</v>
      </c>
      <c r="Z42" s="28"/>
      <c r="AA42" s="28"/>
      <c r="AB42" s="28">
        <f t="shared" si="8"/>
        <v>0</v>
      </c>
    </row>
    <row r="43" spans="1:28" s="22" customFormat="1" ht="63" x14ac:dyDescent="0.25">
      <c r="A43" s="29" t="s">
        <v>50</v>
      </c>
      <c r="B43" s="28">
        <f t="shared" si="0"/>
        <v>617777</v>
      </c>
      <c r="C43" s="28">
        <f t="shared" si="0"/>
        <v>617777</v>
      </c>
      <c r="D43" s="28">
        <f t="shared" si="0"/>
        <v>0</v>
      </c>
      <c r="E43" s="28"/>
      <c r="F43" s="28"/>
      <c r="G43" s="28">
        <f t="shared" si="1"/>
        <v>0</v>
      </c>
      <c r="H43" s="28"/>
      <c r="I43" s="28"/>
      <c r="J43" s="28">
        <f t="shared" si="2"/>
        <v>0</v>
      </c>
      <c r="K43" s="28"/>
      <c r="L43" s="28"/>
      <c r="M43" s="28">
        <f t="shared" si="3"/>
        <v>0</v>
      </c>
      <c r="N43" s="28"/>
      <c r="O43" s="28"/>
      <c r="P43" s="28">
        <f t="shared" si="4"/>
        <v>0</v>
      </c>
      <c r="Q43" s="28"/>
      <c r="R43" s="28"/>
      <c r="S43" s="28">
        <f t="shared" si="5"/>
        <v>0</v>
      </c>
      <c r="T43" s="28"/>
      <c r="U43" s="28"/>
      <c r="V43" s="28">
        <f t="shared" si="6"/>
        <v>0</v>
      </c>
      <c r="W43" s="28">
        <v>617777</v>
      </c>
      <c r="X43" s="28">
        <v>617777</v>
      </c>
      <c r="Y43" s="28">
        <f t="shared" si="7"/>
        <v>0</v>
      </c>
      <c r="Z43" s="28"/>
      <c r="AA43" s="28"/>
      <c r="AB43" s="28">
        <f t="shared" si="8"/>
        <v>0</v>
      </c>
    </row>
    <row r="44" spans="1:28" s="22" customFormat="1" ht="47.25" x14ac:dyDescent="0.25">
      <c r="A44" s="27" t="s">
        <v>51</v>
      </c>
      <c r="B44" s="25">
        <f t="shared" si="0"/>
        <v>103273</v>
      </c>
      <c r="C44" s="25">
        <f t="shared" si="0"/>
        <v>103273</v>
      </c>
      <c r="D44" s="25">
        <f t="shared" si="0"/>
        <v>0</v>
      </c>
      <c r="E44" s="25"/>
      <c r="F44" s="25"/>
      <c r="G44" s="25">
        <f t="shared" si="1"/>
        <v>0</v>
      </c>
      <c r="H44" s="25"/>
      <c r="I44" s="25"/>
      <c r="J44" s="25">
        <f t="shared" si="2"/>
        <v>0</v>
      </c>
      <c r="K44" s="25"/>
      <c r="L44" s="25"/>
      <c r="M44" s="25">
        <f t="shared" si="3"/>
        <v>0</v>
      </c>
      <c r="N44" s="25"/>
      <c r="O44" s="25"/>
      <c r="P44" s="25">
        <f t="shared" si="4"/>
        <v>0</v>
      </c>
      <c r="Q44" s="25"/>
      <c r="R44" s="25"/>
      <c r="S44" s="25">
        <f t="shared" si="5"/>
        <v>0</v>
      </c>
      <c r="T44" s="25"/>
      <c r="U44" s="25"/>
      <c r="V44" s="25">
        <f t="shared" si="6"/>
        <v>0</v>
      </c>
      <c r="W44" s="25">
        <v>103273</v>
      </c>
      <c r="X44" s="25">
        <v>103273</v>
      </c>
      <c r="Y44" s="25">
        <f t="shared" si="7"/>
        <v>0</v>
      </c>
      <c r="Z44" s="25"/>
      <c r="AA44" s="25"/>
      <c r="AB44" s="25">
        <f t="shared" si="8"/>
        <v>0</v>
      </c>
    </row>
    <row r="45" spans="1:28" s="22" customFormat="1" ht="52.5" customHeight="1" x14ac:dyDescent="0.25">
      <c r="A45" s="27" t="s">
        <v>52</v>
      </c>
      <c r="B45" s="25">
        <f t="shared" si="0"/>
        <v>675831</v>
      </c>
      <c r="C45" s="25">
        <f t="shared" si="0"/>
        <v>675831</v>
      </c>
      <c r="D45" s="25">
        <f t="shared" si="0"/>
        <v>0</v>
      </c>
      <c r="E45" s="25"/>
      <c r="F45" s="25"/>
      <c r="G45" s="25">
        <f t="shared" si="1"/>
        <v>0</v>
      </c>
      <c r="H45" s="25"/>
      <c r="I45" s="25"/>
      <c r="J45" s="25">
        <f t="shared" si="2"/>
        <v>0</v>
      </c>
      <c r="K45" s="25"/>
      <c r="L45" s="25"/>
      <c r="M45" s="25">
        <f t="shared" si="3"/>
        <v>0</v>
      </c>
      <c r="N45" s="25"/>
      <c r="O45" s="25"/>
      <c r="P45" s="25">
        <f t="shared" si="4"/>
        <v>0</v>
      </c>
      <c r="Q45" s="25"/>
      <c r="R45" s="25"/>
      <c r="S45" s="25">
        <f t="shared" si="5"/>
        <v>0</v>
      </c>
      <c r="T45" s="25">
        <v>673955</v>
      </c>
      <c r="U45" s="25">
        <v>673955</v>
      </c>
      <c r="V45" s="25">
        <f t="shared" si="6"/>
        <v>0</v>
      </c>
      <c r="W45" s="25">
        <v>1876</v>
      </c>
      <c r="X45" s="25">
        <v>1876</v>
      </c>
      <c r="Y45" s="25">
        <f t="shared" si="7"/>
        <v>0</v>
      </c>
      <c r="Z45" s="25"/>
      <c r="AA45" s="25"/>
      <c r="AB45" s="25">
        <f t="shared" si="8"/>
        <v>0</v>
      </c>
    </row>
    <row r="46" spans="1:28" s="22" customFormat="1" ht="78.75" customHeight="1" x14ac:dyDescent="0.25">
      <c r="A46" s="27" t="s">
        <v>53</v>
      </c>
      <c r="B46" s="25">
        <f t="shared" si="0"/>
        <v>421667</v>
      </c>
      <c r="C46" s="25">
        <f t="shared" si="0"/>
        <v>421667</v>
      </c>
      <c r="D46" s="25">
        <f t="shared" si="0"/>
        <v>0</v>
      </c>
      <c r="E46" s="25">
        <f>205200+10000-215200</f>
        <v>0</v>
      </c>
      <c r="F46" s="25">
        <f>205200+10000-215200</f>
        <v>0</v>
      </c>
      <c r="G46" s="25">
        <f t="shared" si="1"/>
        <v>0</v>
      </c>
      <c r="H46" s="25"/>
      <c r="I46" s="25"/>
      <c r="J46" s="25">
        <f t="shared" si="2"/>
        <v>0</v>
      </c>
      <c r="K46" s="25"/>
      <c r="L46" s="25"/>
      <c r="M46" s="25">
        <f t="shared" si="3"/>
        <v>0</v>
      </c>
      <c r="N46" s="25"/>
      <c r="O46" s="25"/>
      <c r="P46" s="25">
        <f t="shared" si="4"/>
        <v>0</v>
      </c>
      <c r="Q46" s="25"/>
      <c r="R46" s="25"/>
      <c r="S46" s="25">
        <f t="shared" si="5"/>
        <v>0</v>
      </c>
      <c r="T46" s="25">
        <v>218928</v>
      </c>
      <c r="U46" s="25">
        <v>218928</v>
      </c>
      <c r="V46" s="25">
        <f t="shared" si="6"/>
        <v>0</v>
      </c>
      <c r="W46" s="25">
        <v>202739</v>
      </c>
      <c r="X46" s="25">
        <v>202739</v>
      </c>
      <c r="Y46" s="25">
        <f t="shared" si="7"/>
        <v>0</v>
      </c>
      <c r="Z46" s="25"/>
      <c r="AA46" s="25"/>
      <c r="AB46" s="25">
        <f t="shared" si="8"/>
        <v>0</v>
      </c>
    </row>
    <row r="47" spans="1:28" s="22" customFormat="1" ht="63" x14ac:dyDescent="0.25">
      <c r="A47" s="27" t="s">
        <v>54</v>
      </c>
      <c r="B47" s="25">
        <f>E47+H47+K47+N47+Q47+T47+W47+Z47</f>
        <v>121237</v>
      </c>
      <c r="C47" s="25">
        <f>F47+I47+L47+O47+R47+U47+X47+AA47</f>
        <v>121237</v>
      </c>
      <c r="D47" s="25">
        <f>G47+J47+M47+P47+S47+V47+Y47+AB47</f>
        <v>0</v>
      </c>
      <c r="E47" s="25"/>
      <c r="F47" s="25"/>
      <c r="G47" s="25">
        <f>F47-E47</f>
        <v>0</v>
      </c>
      <c r="H47" s="25"/>
      <c r="I47" s="25"/>
      <c r="J47" s="25">
        <f>I47-H47</f>
        <v>0</v>
      </c>
      <c r="K47" s="25"/>
      <c r="L47" s="25"/>
      <c r="M47" s="25">
        <f>L47-K47</f>
        <v>0</v>
      </c>
      <c r="N47" s="25"/>
      <c r="O47" s="25"/>
      <c r="P47" s="25">
        <f>O47-N47</f>
        <v>0</v>
      </c>
      <c r="Q47" s="25"/>
      <c r="R47" s="25"/>
      <c r="S47" s="25">
        <f>R47-Q47</f>
        <v>0</v>
      </c>
      <c r="T47" s="25">
        <v>121237</v>
      </c>
      <c r="U47" s="25">
        <v>121237</v>
      </c>
      <c r="V47" s="25">
        <f>U47-T47</f>
        <v>0</v>
      </c>
      <c r="W47" s="25"/>
      <c r="X47" s="25"/>
      <c r="Y47" s="25">
        <f>X47-W47</f>
        <v>0</v>
      </c>
      <c r="Z47" s="25"/>
      <c r="AA47" s="25"/>
      <c r="AB47" s="25">
        <f>AA47-Z47</f>
        <v>0</v>
      </c>
    </row>
    <row r="48" spans="1:28" s="22" customFormat="1" ht="31.5" x14ac:dyDescent="0.25">
      <c r="A48" s="27" t="s">
        <v>55</v>
      </c>
      <c r="B48" s="25">
        <f t="shared" ref="B48:D48" si="9">E48+H48+K48+N48+Q48+T48+W48+Z48</f>
        <v>57197</v>
      </c>
      <c r="C48" s="25">
        <f t="shared" si="9"/>
        <v>57197</v>
      </c>
      <c r="D48" s="25">
        <f t="shared" si="9"/>
        <v>0</v>
      </c>
      <c r="E48" s="25"/>
      <c r="F48" s="25"/>
      <c r="G48" s="25">
        <f t="shared" ref="G48" si="10">F48-E48</f>
        <v>0</v>
      </c>
      <c r="H48" s="25"/>
      <c r="I48" s="25"/>
      <c r="J48" s="25">
        <f t="shared" ref="J48" si="11">I48-H48</f>
        <v>0</v>
      </c>
      <c r="K48" s="25"/>
      <c r="L48" s="25"/>
      <c r="M48" s="25">
        <f t="shared" ref="M48" si="12">L48-K48</f>
        <v>0</v>
      </c>
      <c r="N48" s="25"/>
      <c r="O48" s="25"/>
      <c r="P48" s="25">
        <f t="shared" ref="P48" si="13">O48-N48</f>
        <v>0</v>
      </c>
      <c r="Q48" s="25"/>
      <c r="R48" s="25"/>
      <c r="S48" s="25">
        <f t="shared" ref="S48" si="14">R48-Q48</f>
        <v>0</v>
      </c>
      <c r="T48" s="25">
        <v>57197</v>
      </c>
      <c r="U48" s="25">
        <v>57197</v>
      </c>
      <c r="V48" s="25">
        <f t="shared" ref="V48" si="15">U48-T48</f>
        <v>0</v>
      </c>
      <c r="W48" s="25"/>
      <c r="X48" s="25"/>
      <c r="Y48" s="25">
        <f t="shared" ref="Y48" si="16">X48-W48</f>
        <v>0</v>
      </c>
      <c r="Z48" s="25"/>
      <c r="AA48" s="25"/>
      <c r="AB48" s="25">
        <f t="shared" ref="AB48" si="17">AA48-Z48</f>
        <v>0</v>
      </c>
    </row>
    <row r="49" spans="1:194" s="22" customFormat="1" ht="31.5" x14ac:dyDescent="0.25">
      <c r="A49" s="27" t="s">
        <v>56</v>
      </c>
      <c r="B49" s="25">
        <f t="shared" si="0"/>
        <v>100623</v>
      </c>
      <c r="C49" s="25">
        <f t="shared" si="0"/>
        <v>100623</v>
      </c>
      <c r="D49" s="25">
        <f t="shared" si="0"/>
        <v>0</v>
      </c>
      <c r="E49" s="25"/>
      <c r="F49" s="25"/>
      <c r="G49" s="25">
        <f t="shared" si="1"/>
        <v>0</v>
      </c>
      <c r="H49" s="25"/>
      <c r="I49" s="25"/>
      <c r="J49" s="25">
        <f t="shared" si="2"/>
        <v>0</v>
      </c>
      <c r="K49" s="25"/>
      <c r="L49" s="25"/>
      <c r="M49" s="25">
        <f t="shared" si="3"/>
        <v>0</v>
      </c>
      <c r="N49" s="25"/>
      <c r="O49" s="25"/>
      <c r="P49" s="25">
        <f t="shared" si="4"/>
        <v>0</v>
      </c>
      <c r="Q49" s="25"/>
      <c r="R49" s="25"/>
      <c r="S49" s="25">
        <f t="shared" si="5"/>
        <v>0</v>
      </c>
      <c r="T49" s="25">
        <v>50311</v>
      </c>
      <c r="U49" s="25">
        <v>50311</v>
      </c>
      <c r="V49" s="25">
        <f t="shared" si="6"/>
        <v>0</v>
      </c>
      <c r="W49" s="25"/>
      <c r="X49" s="25"/>
      <c r="Y49" s="25">
        <f t="shared" si="7"/>
        <v>0</v>
      </c>
      <c r="Z49" s="25">
        <v>50312</v>
      </c>
      <c r="AA49" s="25">
        <v>50312</v>
      </c>
      <c r="AB49" s="25">
        <f t="shared" si="8"/>
        <v>0</v>
      </c>
    </row>
    <row r="50" spans="1:194" s="22" customFormat="1" x14ac:dyDescent="0.25">
      <c r="A50" s="19" t="s">
        <v>57</v>
      </c>
      <c r="B50" s="20">
        <f t="shared" si="0"/>
        <v>1502916</v>
      </c>
      <c r="C50" s="20">
        <f t="shared" si="0"/>
        <v>1570516</v>
      </c>
      <c r="D50" s="20">
        <f t="shared" si="0"/>
        <v>67600</v>
      </c>
      <c r="E50" s="20">
        <f>SUM(E51)</f>
        <v>60000</v>
      </c>
      <c r="F50" s="20">
        <f>SUM(F51)</f>
        <v>119926</v>
      </c>
      <c r="G50" s="20">
        <f t="shared" si="1"/>
        <v>59926</v>
      </c>
      <c r="H50" s="20">
        <f>SUM(H51)</f>
        <v>0</v>
      </c>
      <c r="I50" s="20">
        <f>SUM(I51)</f>
        <v>184938</v>
      </c>
      <c r="J50" s="20">
        <f t="shared" si="2"/>
        <v>184938</v>
      </c>
      <c r="K50" s="20">
        <f>SUM(K51)</f>
        <v>1065516</v>
      </c>
      <c r="L50" s="20">
        <f>SUM(L51)</f>
        <v>888252</v>
      </c>
      <c r="M50" s="20">
        <f t="shared" si="3"/>
        <v>-177264</v>
      </c>
      <c r="N50" s="20">
        <f>SUM(N51)</f>
        <v>0</v>
      </c>
      <c r="O50" s="20">
        <f>SUM(O51)</f>
        <v>0</v>
      </c>
      <c r="P50" s="20">
        <f t="shared" si="4"/>
        <v>0</v>
      </c>
      <c r="Q50" s="20">
        <f>SUM(Q51)</f>
        <v>0</v>
      </c>
      <c r="R50" s="20">
        <f>SUM(R51)</f>
        <v>0</v>
      </c>
      <c r="S50" s="20">
        <f t="shared" si="5"/>
        <v>0</v>
      </c>
      <c r="T50" s="20">
        <f>SUM(T51)</f>
        <v>0</v>
      </c>
      <c r="U50" s="20">
        <f>SUM(U51)</f>
        <v>0</v>
      </c>
      <c r="V50" s="20">
        <f t="shared" si="6"/>
        <v>0</v>
      </c>
      <c r="W50" s="20">
        <f>SUM(W51)</f>
        <v>232400</v>
      </c>
      <c r="X50" s="20">
        <f>SUM(X51)</f>
        <v>232400</v>
      </c>
      <c r="Y50" s="20">
        <f t="shared" si="7"/>
        <v>0</v>
      </c>
      <c r="Z50" s="20">
        <f>SUM(Z51)</f>
        <v>145000</v>
      </c>
      <c r="AA50" s="20">
        <f>SUM(AA51)</f>
        <v>145000</v>
      </c>
      <c r="AB50" s="20">
        <f t="shared" si="8"/>
        <v>0</v>
      </c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</row>
    <row r="51" spans="1:194" s="22" customFormat="1" x14ac:dyDescent="0.25">
      <c r="A51" s="19" t="s">
        <v>20</v>
      </c>
      <c r="B51" s="20">
        <f t="shared" si="0"/>
        <v>1502916</v>
      </c>
      <c r="C51" s="20">
        <f t="shared" si="0"/>
        <v>1570516</v>
      </c>
      <c r="D51" s="20">
        <f t="shared" si="0"/>
        <v>67600</v>
      </c>
      <c r="E51" s="20">
        <f>SUM(E52:E56)</f>
        <v>60000</v>
      </c>
      <c r="F51" s="20">
        <f>SUM(F52:F56)</f>
        <v>119926</v>
      </c>
      <c r="G51" s="20">
        <f t="shared" si="1"/>
        <v>59926</v>
      </c>
      <c r="H51" s="20">
        <f>SUM(H52:H56)</f>
        <v>0</v>
      </c>
      <c r="I51" s="20">
        <f>SUM(I52:I56)</f>
        <v>184938</v>
      </c>
      <c r="J51" s="20">
        <f t="shared" si="2"/>
        <v>184938</v>
      </c>
      <c r="K51" s="20">
        <f>SUM(K52:K56)</f>
        <v>1065516</v>
      </c>
      <c r="L51" s="20">
        <f>SUM(L52:L56)</f>
        <v>888252</v>
      </c>
      <c r="M51" s="20">
        <f t="shared" si="3"/>
        <v>-177264</v>
      </c>
      <c r="N51" s="20">
        <f>SUM(N52:N56)</f>
        <v>0</v>
      </c>
      <c r="O51" s="20">
        <f>SUM(O52:O56)</f>
        <v>0</v>
      </c>
      <c r="P51" s="20">
        <f t="shared" si="4"/>
        <v>0</v>
      </c>
      <c r="Q51" s="20">
        <f>SUM(Q52:Q56)</f>
        <v>0</v>
      </c>
      <c r="R51" s="20">
        <f>SUM(R52:R56)</f>
        <v>0</v>
      </c>
      <c r="S51" s="20">
        <f t="shared" si="5"/>
        <v>0</v>
      </c>
      <c r="T51" s="20">
        <f>SUM(T52:T56)</f>
        <v>0</v>
      </c>
      <c r="U51" s="20">
        <f>SUM(U52:U56)</f>
        <v>0</v>
      </c>
      <c r="V51" s="20">
        <f t="shared" si="6"/>
        <v>0</v>
      </c>
      <c r="W51" s="20">
        <f>SUM(W52:W56)</f>
        <v>232400</v>
      </c>
      <c r="X51" s="20">
        <f>SUM(X52:X56)</f>
        <v>232400</v>
      </c>
      <c r="Y51" s="20">
        <f t="shared" si="7"/>
        <v>0</v>
      </c>
      <c r="Z51" s="20">
        <f>SUM(Z52:Z56)</f>
        <v>145000</v>
      </c>
      <c r="AA51" s="20">
        <f>SUM(AA52:AA56)</f>
        <v>145000</v>
      </c>
      <c r="AB51" s="20">
        <f t="shared" si="8"/>
        <v>0</v>
      </c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</row>
    <row r="52" spans="1:194" s="22" customFormat="1" ht="31.5" x14ac:dyDescent="0.25">
      <c r="A52" s="30" t="s">
        <v>58</v>
      </c>
      <c r="B52" s="28">
        <f t="shared" si="0"/>
        <v>1292800</v>
      </c>
      <c r="C52" s="28">
        <f t="shared" si="0"/>
        <v>1352726</v>
      </c>
      <c r="D52" s="28">
        <f t="shared" si="0"/>
        <v>59926</v>
      </c>
      <c r="E52" s="28">
        <f>0</f>
        <v>0</v>
      </c>
      <c r="F52" s="28">
        <f>59926</f>
        <v>59926</v>
      </c>
      <c r="G52" s="28">
        <f t="shared" si="1"/>
        <v>59926</v>
      </c>
      <c r="H52" s="28"/>
      <c r="I52" s="28">
        <f>184938</f>
        <v>184938</v>
      </c>
      <c r="J52" s="28">
        <f t="shared" si="2"/>
        <v>184938</v>
      </c>
      <c r="K52" s="28">
        <f>260400+800000</f>
        <v>1060400</v>
      </c>
      <c r="L52" s="28">
        <f>260400+800000-184938</f>
        <v>875462</v>
      </c>
      <c r="M52" s="28">
        <f t="shared" si="3"/>
        <v>-184938</v>
      </c>
      <c r="N52" s="28"/>
      <c r="O52" s="28"/>
      <c r="P52" s="28">
        <f t="shared" si="4"/>
        <v>0</v>
      </c>
      <c r="Q52" s="28"/>
      <c r="R52" s="28"/>
      <c r="S52" s="28">
        <f t="shared" si="5"/>
        <v>0</v>
      </c>
      <c r="T52" s="28"/>
      <c r="U52" s="28"/>
      <c r="V52" s="28">
        <f t="shared" si="6"/>
        <v>0</v>
      </c>
      <c r="W52" s="28">
        <v>232400</v>
      </c>
      <c r="X52" s="28">
        <v>232400</v>
      </c>
      <c r="Y52" s="28">
        <f t="shared" si="7"/>
        <v>0</v>
      </c>
      <c r="Z52" s="28">
        <f>800000-800000</f>
        <v>0</v>
      </c>
      <c r="AA52" s="28">
        <f>800000-800000</f>
        <v>0</v>
      </c>
      <c r="AB52" s="28">
        <f t="shared" si="8"/>
        <v>0</v>
      </c>
    </row>
    <row r="53" spans="1:194" s="22" customFormat="1" ht="31.5" x14ac:dyDescent="0.25">
      <c r="A53" s="30" t="s">
        <v>59</v>
      </c>
      <c r="B53" s="28">
        <f t="shared" si="0"/>
        <v>100000</v>
      </c>
      <c r="C53" s="28">
        <f t="shared" si="0"/>
        <v>100000</v>
      </c>
      <c r="D53" s="28">
        <f t="shared" si="0"/>
        <v>0</v>
      </c>
      <c r="E53" s="28"/>
      <c r="F53" s="28"/>
      <c r="G53" s="28">
        <f t="shared" si="1"/>
        <v>0</v>
      </c>
      <c r="H53" s="28"/>
      <c r="I53" s="28"/>
      <c r="J53" s="28">
        <f t="shared" si="2"/>
        <v>0</v>
      </c>
      <c r="K53" s="28"/>
      <c r="L53" s="28"/>
      <c r="M53" s="28">
        <f t="shared" si="3"/>
        <v>0</v>
      </c>
      <c r="N53" s="28"/>
      <c r="O53" s="28"/>
      <c r="P53" s="28">
        <f t="shared" si="4"/>
        <v>0</v>
      </c>
      <c r="Q53" s="28"/>
      <c r="R53" s="28"/>
      <c r="S53" s="28">
        <f t="shared" si="5"/>
        <v>0</v>
      </c>
      <c r="T53" s="28"/>
      <c r="U53" s="28"/>
      <c r="V53" s="28">
        <f t="shared" si="6"/>
        <v>0</v>
      </c>
      <c r="W53" s="28"/>
      <c r="X53" s="28"/>
      <c r="Y53" s="28">
        <f t="shared" si="7"/>
        <v>0</v>
      </c>
      <c r="Z53" s="28">
        <v>100000</v>
      </c>
      <c r="AA53" s="28">
        <v>100000</v>
      </c>
      <c r="AB53" s="28">
        <f t="shared" si="8"/>
        <v>0</v>
      </c>
    </row>
    <row r="54" spans="1:194" s="22" customFormat="1" x14ac:dyDescent="0.25">
      <c r="A54" s="30" t="s">
        <v>60</v>
      </c>
      <c r="B54" s="28">
        <f t="shared" si="0"/>
        <v>5116</v>
      </c>
      <c r="C54" s="28">
        <f t="shared" si="0"/>
        <v>12790</v>
      </c>
      <c r="D54" s="28">
        <f t="shared" si="0"/>
        <v>7674</v>
      </c>
      <c r="E54" s="28"/>
      <c r="F54" s="28"/>
      <c r="G54" s="28">
        <f t="shared" si="1"/>
        <v>0</v>
      </c>
      <c r="H54" s="28"/>
      <c r="I54" s="28"/>
      <c r="J54" s="28">
        <f t="shared" si="2"/>
        <v>0</v>
      </c>
      <c r="K54" s="28">
        <f>5116</f>
        <v>5116</v>
      </c>
      <c r="L54" s="28">
        <f>5116+7674</f>
        <v>12790</v>
      </c>
      <c r="M54" s="28">
        <f t="shared" si="3"/>
        <v>7674</v>
      </c>
      <c r="N54" s="28"/>
      <c r="O54" s="28"/>
      <c r="P54" s="28">
        <f t="shared" si="4"/>
        <v>0</v>
      </c>
      <c r="Q54" s="28"/>
      <c r="R54" s="28"/>
      <c r="S54" s="28">
        <f t="shared" si="5"/>
        <v>0</v>
      </c>
      <c r="T54" s="28"/>
      <c r="U54" s="28"/>
      <c r="V54" s="28">
        <f t="shared" si="6"/>
        <v>0</v>
      </c>
      <c r="W54" s="28"/>
      <c r="X54" s="28"/>
      <c r="Y54" s="28">
        <f t="shared" si="7"/>
        <v>0</v>
      </c>
      <c r="Z54" s="28"/>
      <c r="AA54" s="28"/>
      <c r="AB54" s="28">
        <f t="shared" si="8"/>
        <v>0</v>
      </c>
    </row>
    <row r="55" spans="1:194" s="22" customFormat="1" x14ac:dyDescent="0.25">
      <c r="A55" s="30" t="s">
        <v>61</v>
      </c>
      <c r="B55" s="28">
        <f t="shared" si="0"/>
        <v>60000</v>
      </c>
      <c r="C55" s="28">
        <f t="shared" si="0"/>
        <v>60000</v>
      </c>
      <c r="D55" s="28">
        <f t="shared" si="0"/>
        <v>0</v>
      </c>
      <c r="E55" s="28">
        <v>60000</v>
      </c>
      <c r="F55" s="28">
        <v>60000</v>
      </c>
      <c r="G55" s="28">
        <f t="shared" si="1"/>
        <v>0</v>
      </c>
      <c r="H55" s="28"/>
      <c r="I55" s="28"/>
      <c r="J55" s="28">
        <f t="shared" si="2"/>
        <v>0</v>
      </c>
      <c r="K55" s="28"/>
      <c r="L55" s="28"/>
      <c r="M55" s="28">
        <f t="shared" si="3"/>
        <v>0</v>
      </c>
      <c r="N55" s="28"/>
      <c r="O55" s="28"/>
      <c r="P55" s="28">
        <f t="shared" si="4"/>
        <v>0</v>
      </c>
      <c r="Q55" s="28"/>
      <c r="R55" s="28"/>
      <c r="S55" s="28">
        <f t="shared" si="5"/>
        <v>0</v>
      </c>
      <c r="T55" s="28"/>
      <c r="U55" s="28"/>
      <c r="V55" s="28">
        <f t="shared" si="6"/>
        <v>0</v>
      </c>
      <c r="W55" s="28"/>
      <c r="X55" s="28"/>
      <c r="Y55" s="28">
        <f t="shared" si="7"/>
        <v>0</v>
      </c>
      <c r="Z55" s="28"/>
      <c r="AA55" s="28"/>
      <c r="AB55" s="28">
        <f t="shared" si="8"/>
        <v>0</v>
      </c>
    </row>
    <row r="56" spans="1:194" s="22" customFormat="1" ht="31.5" x14ac:dyDescent="0.25">
      <c r="A56" s="30" t="s">
        <v>62</v>
      </c>
      <c r="B56" s="28">
        <f t="shared" si="0"/>
        <v>45000</v>
      </c>
      <c r="C56" s="28">
        <f t="shared" si="0"/>
        <v>45000</v>
      </c>
      <c r="D56" s="28">
        <f t="shared" si="0"/>
        <v>0</v>
      </c>
      <c r="E56" s="28"/>
      <c r="F56" s="28"/>
      <c r="G56" s="28">
        <f t="shared" si="1"/>
        <v>0</v>
      </c>
      <c r="H56" s="28"/>
      <c r="I56" s="28"/>
      <c r="J56" s="28">
        <f t="shared" si="2"/>
        <v>0</v>
      </c>
      <c r="K56" s="28"/>
      <c r="L56" s="28"/>
      <c r="M56" s="28">
        <f t="shared" si="3"/>
        <v>0</v>
      </c>
      <c r="N56" s="28"/>
      <c r="O56" s="28"/>
      <c r="P56" s="28">
        <f t="shared" si="4"/>
        <v>0</v>
      </c>
      <c r="Q56" s="28"/>
      <c r="R56" s="28"/>
      <c r="S56" s="28">
        <f t="shared" si="5"/>
        <v>0</v>
      </c>
      <c r="T56" s="28"/>
      <c r="U56" s="28"/>
      <c r="V56" s="28">
        <f t="shared" si="6"/>
        <v>0</v>
      </c>
      <c r="W56" s="28"/>
      <c r="X56" s="28"/>
      <c r="Y56" s="28">
        <f t="shared" si="7"/>
        <v>0</v>
      </c>
      <c r="Z56" s="28">
        <v>45000</v>
      </c>
      <c r="AA56" s="28">
        <v>45000</v>
      </c>
      <c r="AB56" s="28">
        <f t="shared" si="8"/>
        <v>0</v>
      </c>
    </row>
    <row r="57" spans="1:194" s="22" customFormat="1" x14ac:dyDescent="0.25">
      <c r="A57" s="19" t="s">
        <v>63</v>
      </c>
      <c r="B57" s="20">
        <f t="shared" si="0"/>
        <v>251097</v>
      </c>
      <c r="C57" s="20">
        <f t="shared" si="0"/>
        <v>251097</v>
      </c>
      <c r="D57" s="20">
        <f t="shared" si="0"/>
        <v>0</v>
      </c>
      <c r="E57" s="20">
        <f>SUM(E58)</f>
        <v>0</v>
      </c>
      <c r="F57" s="20">
        <f>SUM(F58)</f>
        <v>0</v>
      </c>
      <c r="G57" s="20">
        <f t="shared" si="1"/>
        <v>0</v>
      </c>
      <c r="H57" s="20">
        <f>SUM(H58)</f>
        <v>0</v>
      </c>
      <c r="I57" s="20">
        <f>SUM(I58)</f>
        <v>0</v>
      </c>
      <c r="J57" s="20">
        <f t="shared" si="2"/>
        <v>0</v>
      </c>
      <c r="K57" s="20">
        <f>SUM(K58)</f>
        <v>0</v>
      </c>
      <c r="L57" s="20">
        <f>SUM(L58)</f>
        <v>0</v>
      </c>
      <c r="M57" s="20">
        <f t="shared" si="3"/>
        <v>0</v>
      </c>
      <c r="N57" s="20">
        <f>SUM(N58)</f>
        <v>251097</v>
      </c>
      <c r="O57" s="20">
        <f>SUM(O58)</f>
        <v>251097</v>
      </c>
      <c r="P57" s="20">
        <f t="shared" si="4"/>
        <v>0</v>
      </c>
      <c r="Q57" s="20">
        <f>SUM(Q58)</f>
        <v>0</v>
      </c>
      <c r="R57" s="20">
        <f>SUM(R58)</f>
        <v>0</v>
      </c>
      <c r="S57" s="20">
        <f t="shared" si="5"/>
        <v>0</v>
      </c>
      <c r="T57" s="20">
        <f>SUM(T58)</f>
        <v>0</v>
      </c>
      <c r="U57" s="20">
        <f>SUM(U58)</f>
        <v>0</v>
      </c>
      <c r="V57" s="20">
        <f t="shared" si="6"/>
        <v>0</v>
      </c>
      <c r="W57" s="20">
        <f>SUM(W58)</f>
        <v>0</v>
      </c>
      <c r="X57" s="20">
        <f>SUM(X58)</f>
        <v>0</v>
      </c>
      <c r="Y57" s="20">
        <f t="shared" si="7"/>
        <v>0</v>
      </c>
      <c r="Z57" s="20">
        <f>SUM(Z58)</f>
        <v>0</v>
      </c>
      <c r="AA57" s="20">
        <f>SUM(AA58)</f>
        <v>0</v>
      </c>
      <c r="AB57" s="20">
        <f t="shared" si="8"/>
        <v>0</v>
      </c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</row>
    <row r="58" spans="1:194" s="21" customFormat="1" x14ac:dyDescent="0.25">
      <c r="A58" s="19" t="s">
        <v>20</v>
      </c>
      <c r="B58" s="20">
        <f t="shared" si="0"/>
        <v>251097</v>
      </c>
      <c r="C58" s="20">
        <f t="shared" si="0"/>
        <v>251097</v>
      </c>
      <c r="D58" s="20">
        <f t="shared" si="0"/>
        <v>0</v>
      </c>
      <c r="E58" s="20">
        <f>SUM(E59:E62)</f>
        <v>0</v>
      </c>
      <c r="F58" s="20">
        <f>SUM(F59:F62)</f>
        <v>0</v>
      </c>
      <c r="G58" s="20">
        <f t="shared" si="1"/>
        <v>0</v>
      </c>
      <c r="H58" s="20">
        <f>SUM(H59:H62)</f>
        <v>0</v>
      </c>
      <c r="I58" s="20">
        <f>SUM(I59:I62)</f>
        <v>0</v>
      </c>
      <c r="J58" s="20">
        <f t="shared" si="2"/>
        <v>0</v>
      </c>
      <c r="K58" s="20">
        <f>SUM(K59:K62)</f>
        <v>0</v>
      </c>
      <c r="L58" s="20">
        <f>SUM(L59:L62)</f>
        <v>0</v>
      </c>
      <c r="M58" s="20">
        <f t="shared" si="3"/>
        <v>0</v>
      </c>
      <c r="N58" s="20">
        <f>SUM(N59:N62)</f>
        <v>251097</v>
      </c>
      <c r="O58" s="20">
        <f>SUM(O59:O62)</f>
        <v>251097</v>
      </c>
      <c r="P58" s="20">
        <f t="shared" si="4"/>
        <v>0</v>
      </c>
      <c r="Q58" s="20">
        <f>SUM(Q59:Q62)</f>
        <v>0</v>
      </c>
      <c r="R58" s="20">
        <f>SUM(R59:R62)</f>
        <v>0</v>
      </c>
      <c r="S58" s="20">
        <f t="shared" si="5"/>
        <v>0</v>
      </c>
      <c r="T58" s="20">
        <f>SUM(T59:T62)</f>
        <v>0</v>
      </c>
      <c r="U58" s="20">
        <f>SUM(U59:U62)</f>
        <v>0</v>
      </c>
      <c r="V58" s="20">
        <f t="shared" si="6"/>
        <v>0</v>
      </c>
      <c r="W58" s="20">
        <f>SUM(W59:W62)</f>
        <v>0</v>
      </c>
      <c r="X58" s="20">
        <f>SUM(X59:X62)</f>
        <v>0</v>
      </c>
      <c r="Y58" s="20">
        <f t="shared" si="7"/>
        <v>0</v>
      </c>
      <c r="Z58" s="20">
        <f>SUM(Z59:Z62)</f>
        <v>0</v>
      </c>
      <c r="AA58" s="20">
        <f>SUM(AA59:AA62)</f>
        <v>0</v>
      </c>
      <c r="AB58" s="20">
        <f t="shared" si="8"/>
        <v>0</v>
      </c>
    </row>
    <row r="59" spans="1:194" s="22" customFormat="1" ht="31.5" x14ac:dyDescent="0.25">
      <c r="A59" s="27" t="s">
        <v>64</v>
      </c>
      <c r="B59" s="28">
        <f t="shared" si="0"/>
        <v>12000</v>
      </c>
      <c r="C59" s="28">
        <f t="shared" si="0"/>
        <v>12000</v>
      </c>
      <c r="D59" s="28">
        <f t="shared" si="0"/>
        <v>0</v>
      </c>
      <c r="E59" s="28"/>
      <c r="F59" s="28"/>
      <c r="G59" s="28">
        <f t="shared" si="1"/>
        <v>0</v>
      </c>
      <c r="H59" s="28"/>
      <c r="I59" s="28"/>
      <c r="J59" s="28">
        <f t="shared" si="2"/>
        <v>0</v>
      </c>
      <c r="K59" s="28"/>
      <c r="L59" s="28"/>
      <c r="M59" s="28">
        <f t="shared" si="3"/>
        <v>0</v>
      </c>
      <c r="N59" s="28">
        <v>12000</v>
      </c>
      <c r="O59" s="28">
        <v>12000</v>
      </c>
      <c r="P59" s="28">
        <f t="shared" si="4"/>
        <v>0</v>
      </c>
      <c r="Q59" s="28"/>
      <c r="R59" s="28"/>
      <c r="S59" s="28">
        <f t="shared" si="5"/>
        <v>0</v>
      </c>
      <c r="T59" s="28"/>
      <c r="U59" s="28"/>
      <c r="V59" s="28">
        <f t="shared" si="6"/>
        <v>0</v>
      </c>
      <c r="W59" s="28"/>
      <c r="X59" s="28"/>
      <c r="Y59" s="28">
        <f t="shared" si="7"/>
        <v>0</v>
      </c>
      <c r="Z59" s="28"/>
      <c r="AA59" s="28"/>
      <c r="AB59" s="28">
        <f t="shared" si="8"/>
        <v>0</v>
      </c>
    </row>
    <row r="60" spans="1:194" s="22" customFormat="1" x14ac:dyDescent="0.25">
      <c r="A60" s="27" t="s">
        <v>65</v>
      </c>
      <c r="B60" s="28">
        <f t="shared" si="0"/>
        <v>6499</v>
      </c>
      <c r="C60" s="28">
        <f t="shared" si="0"/>
        <v>6499</v>
      </c>
      <c r="D60" s="28">
        <f t="shared" si="0"/>
        <v>0</v>
      </c>
      <c r="E60" s="28"/>
      <c r="F60" s="28"/>
      <c r="G60" s="28">
        <f t="shared" si="1"/>
        <v>0</v>
      </c>
      <c r="H60" s="28"/>
      <c r="I60" s="28"/>
      <c r="J60" s="28">
        <f t="shared" si="2"/>
        <v>0</v>
      </c>
      <c r="K60" s="28"/>
      <c r="L60" s="28"/>
      <c r="M60" s="28">
        <f t="shared" si="3"/>
        <v>0</v>
      </c>
      <c r="N60" s="28">
        <v>6499</v>
      </c>
      <c r="O60" s="28">
        <v>6499</v>
      </c>
      <c r="P60" s="28">
        <f t="shared" si="4"/>
        <v>0</v>
      </c>
      <c r="Q60" s="28"/>
      <c r="R60" s="28"/>
      <c r="S60" s="28">
        <f t="shared" si="5"/>
        <v>0</v>
      </c>
      <c r="T60" s="28"/>
      <c r="U60" s="28"/>
      <c r="V60" s="28">
        <f t="shared" si="6"/>
        <v>0</v>
      </c>
      <c r="W60" s="28"/>
      <c r="X60" s="28"/>
      <c r="Y60" s="28">
        <f t="shared" si="7"/>
        <v>0</v>
      </c>
      <c r="Z60" s="28"/>
      <c r="AA60" s="28"/>
      <c r="AB60" s="28">
        <f t="shared" si="8"/>
        <v>0</v>
      </c>
    </row>
    <row r="61" spans="1:194" s="22" customFormat="1" x14ac:dyDescent="0.25">
      <c r="A61" s="27" t="s">
        <v>66</v>
      </c>
      <c r="B61" s="28">
        <f t="shared" si="0"/>
        <v>38430</v>
      </c>
      <c r="C61" s="28">
        <f t="shared" si="0"/>
        <v>38430</v>
      </c>
      <c r="D61" s="28">
        <f t="shared" si="0"/>
        <v>0</v>
      </c>
      <c r="E61" s="28"/>
      <c r="F61" s="28"/>
      <c r="G61" s="28">
        <f t="shared" si="1"/>
        <v>0</v>
      </c>
      <c r="H61" s="28"/>
      <c r="I61" s="28"/>
      <c r="J61" s="28">
        <f t="shared" si="2"/>
        <v>0</v>
      </c>
      <c r="K61" s="28"/>
      <c r="L61" s="28"/>
      <c r="M61" s="28">
        <f t="shared" si="3"/>
        <v>0</v>
      </c>
      <c r="N61" s="28">
        <v>38430</v>
      </c>
      <c r="O61" s="28">
        <v>38430</v>
      </c>
      <c r="P61" s="28">
        <f t="shared" si="4"/>
        <v>0</v>
      </c>
      <c r="Q61" s="28"/>
      <c r="R61" s="28"/>
      <c r="S61" s="28">
        <f t="shared" si="5"/>
        <v>0</v>
      </c>
      <c r="T61" s="28"/>
      <c r="U61" s="28"/>
      <c r="V61" s="28">
        <f t="shared" si="6"/>
        <v>0</v>
      </c>
      <c r="W61" s="28"/>
      <c r="X61" s="28"/>
      <c r="Y61" s="28">
        <f t="shared" si="7"/>
        <v>0</v>
      </c>
      <c r="Z61" s="28"/>
      <c r="AA61" s="28"/>
      <c r="AB61" s="28">
        <f t="shared" si="8"/>
        <v>0</v>
      </c>
    </row>
    <row r="62" spans="1:194" s="22" customFormat="1" x14ac:dyDescent="0.25">
      <c r="A62" s="27" t="s">
        <v>67</v>
      </c>
      <c r="B62" s="28">
        <f t="shared" si="0"/>
        <v>194168</v>
      </c>
      <c r="C62" s="28">
        <f t="shared" si="0"/>
        <v>194168</v>
      </c>
      <c r="D62" s="28">
        <f t="shared" si="0"/>
        <v>0</v>
      </c>
      <c r="E62" s="28"/>
      <c r="F62" s="28"/>
      <c r="G62" s="28">
        <f t="shared" si="1"/>
        <v>0</v>
      </c>
      <c r="H62" s="28"/>
      <c r="I62" s="28"/>
      <c r="J62" s="28">
        <f t="shared" si="2"/>
        <v>0</v>
      </c>
      <c r="K62" s="28"/>
      <c r="L62" s="28"/>
      <c r="M62" s="28">
        <f t="shared" si="3"/>
        <v>0</v>
      </c>
      <c r="N62" s="28">
        <v>194168</v>
      </c>
      <c r="O62" s="28">
        <v>194168</v>
      </c>
      <c r="P62" s="28">
        <f t="shared" si="4"/>
        <v>0</v>
      </c>
      <c r="Q62" s="28"/>
      <c r="R62" s="28"/>
      <c r="S62" s="28">
        <f t="shared" si="5"/>
        <v>0</v>
      </c>
      <c r="T62" s="28"/>
      <c r="U62" s="28"/>
      <c r="V62" s="28">
        <f t="shared" si="6"/>
        <v>0</v>
      </c>
      <c r="W62" s="28"/>
      <c r="X62" s="28"/>
      <c r="Y62" s="28">
        <f t="shared" si="7"/>
        <v>0</v>
      </c>
      <c r="Z62" s="28"/>
      <c r="AA62" s="28"/>
      <c r="AB62" s="28">
        <f t="shared" si="8"/>
        <v>0</v>
      </c>
    </row>
    <row r="63" spans="1:194" s="22" customFormat="1" x14ac:dyDescent="0.25">
      <c r="A63" s="19" t="s">
        <v>68</v>
      </c>
      <c r="B63" s="20">
        <f t="shared" si="0"/>
        <v>607888</v>
      </c>
      <c r="C63" s="20">
        <f t="shared" si="0"/>
        <v>607888</v>
      </c>
      <c r="D63" s="20">
        <f t="shared" si="0"/>
        <v>0</v>
      </c>
      <c r="E63" s="20">
        <f>SUM(E64)</f>
        <v>0</v>
      </c>
      <c r="F63" s="20">
        <f>SUM(F64)</f>
        <v>0</v>
      </c>
      <c r="G63" s="20">
        <f t="shared" si="1"/>
        <v>0</v>
      </c>
      <c r="H63" s="20">
        <f>SUM(H64)</f>
        <v>0</v>
      </c>
      <c r="I63" s="20">
        <f>SUM(I64)</f>
        <v>0</v>
      </c>
      <c r="J63" s="20">
        <f t="shared" si="2"/>
        <v>0</v>
      </c>
      <c r="K63" s="20">
        <f>SUM(K64)</f>
        <v>0</v>
      </c>
      <c r="L63" s="20">
        <f>SUM(L64)</f>
        <v>0</v>
      </c>
      <c r="M63" s="20">
        <f t="shared" si="3"/>
        <v>0</v>
      </c>
      <c r="N63" s="20">
        <f>SUM(N64)</f>
        <v>54589</v>
      </c>
      <c r="O63" s="20">
        <f>SUM(O64)</f>
        <v>54589</v>
      </c>
      <c r="P63" s="20">
        <f t="shared" si="4"/>
        <v>0</v>
      </c>
      <c r="Q63" s="20">
        <f>SUM(Q64)</f>
        <v>553299</v>
      </c>
      <c r="R63" s="20">
        <f>SUM(R64)</f>
        <v>553299</v>
      </c>
      <c r="S63" s="20">
        <f t="shared" si="5"/>
        <v>0</v>
      </c>
      <c r="T63" s="20">
        <f>SUM(T64)</f>
        <v>0</v>
      </c>
      <c r="U63" s="20">
        <f>SUM(U64)</f>
        <v>0</v>
      </c>
      <c r="V63" s="20">
        <f t="shared" si="6"/>
        <v>0</v>
      </c>
      <c r="W63" s="20">
        <f>SUM(W64)</f>
        <v>0</v>
      </c>
      <c r="X63" s="20">
        <f>SUM(X64)</f>
        <v>0</v>
      </c>
      <c r="Y63" s="20">
        <f t="shared" si="7"/>
        <v>0</v>
      </c>
      <c r="Z63" s="20">
        <f>SUM(Z64)</f>
        <v>0</v>
      </c>
      <c r="AA63" s="20">
        <f>SUM(AA64)</f>
        <v>0</v>
      </c>
      <c r="AB63" s="20">
        <f t="shared" si="8"/>
        <v>0</v>
      </c>
    </row>
    <row r="64" spans="1:194" s="22" customFormat="1" x14ac:dyDescent="0.25">
      <c r="A64" s="19" t="s">
        <v>20</v>
      </c>
      <c r="B64" s="20">
        <f t="shared" si="0"/>
        <v>607888</v>
      </c>
      <c r="C64" s="20">
        <f t="shared" si="0"/>
        <v>607888</v>
      </c>
      <c r="D64" s="20">
        <f t="shared" si="0"/>
        <v>0</v>
      </c>
      <c r="E64" s="20">
        <f>SUM(E65:E70)</f>
        <v>0</v>
      </c>
      <c r="F64" s="20">
        <f>SUM(F65:F70)</f>
        <v>0</v>
      </c>
      <c r="G64" s="20">
        <f t="shared" si="1"/>
        <v>0</v>
      </c>
      <c r="H64" s="20">
        <f>SUM(H65:H70)</f>
        <v>0</v>
      </c>
      <c r="I64" s="20">
        <f>SUM(I65:I70)</f>
        <v>0</v>
      </c>
      <c r="J64" s="20">
        <f t="shared" si="2"/>
        <v>0</v>
      </c>
      <c r="K64" s="20">
        <f>SUM(K65:K70)</f>
        <v>0</v>
      </c>
      <c r="L64" s="20">
        <f>SUM(L65:L70)</f>
        <v>0</v>
      </c>
      <c r="M64" s="20">
        <f t="shared" si="3"/>
        <v>0</v>
      </c>
      <c r="N64" s="20">
        <f>SUM(N65:N70)</f>
        <v>54589</v>
      </c>
      <c r="O64" s="20">
        <f>SUM(O65:O70)</f>
        <v>54589</v>
      </c>
      <c r="P64" s="20">
        <f t="shared" si="4"/>
        <v>0</v>
      </c>
      <c r="Q64" s="20">
        <f>SUM(Q65:Q70)</f>
        <v>553299</v>
      </c>
      <c r="R64" s="20">
        <f>SUM(R65:R70)</f>
        <v>553299</v>
      </c>
      <c r="S64" s="20">
        <f t="shared" si="5"/>
        <v>0</v>
      </c>
      <c r="T64" s="20">
        <f>SUM(T65:T70)</f>
        <v>0</v>
      </c>
      <c r="U64" s="20">
        <f>SUM(U65:U70)</f>
        <v>0</v>
      </c>
      <c r="V64" s="20">
        <f t="shared" si="6"/>
        <v>0</v>
      </c>
      <c r="W64" s="20">
        <f>SUM(W65:W70)</f>
        <v>0</v>
      </c>
      <c r="X64" s="20">
        <f>SUM(X65:X70)</f>
        <v>0</v>
      </c>
      <c r="Y64" s="20">
        <f t="shared" si="7"/>
        <v>0</v>
      </c>
      <c r="Z64" s="20">
        <f>SUM(Z65:Z70)</f>
        <v>0</v>
      </c>
      <c r="AA64" s="20">
        <f>SUM(AA65:AA70)</f>
        <v>0</v>
      </c>
      <c r="AB64" s="20">
        <f t="shared" si="8"/>
        <v>0</v>
      </c>
    </row>
    <row r="65" spans="1:194" s="21" customFormat="1" ht="47.25" x14ac:dyDescent="0.25">
      <c r="A65" s="29" t="s">
        <v>69</v>
      </c>
      <c r="B65" s="31">
        <f t="shared" si="0"/>
        <v>238372</v>
      </c>
      <c r="C65" s="31">
        <f t="shared" si="0"/>
        <v>238372</v>
      </c>
      <c r="D65" s="31">
        <f t="shared" si="0"/>
        <v>0</v>
      </c>
      <c r="E65" s="31"/>
      <c r="F65" s="31"/>
      <c r="G65" s="31">
        <f t="shared" si="1"/>
        <v>0</v>
      </c>
      <c r="H65" s="31"/>
      <c r="I65" s="31"/>
      <c r="J65" s="31">
        <f t="shared" si="2"/>
        <v>0</v>
      </c>
      <c r="K65" s="31"/>
      <c r="L65" s="31"/>
      <c r="M65" s="31">
        <f t="shared" si="3"/>
        <v>0</v>
      </c>
      <c r="N65" s="31"/>
      <c r="O65" s="31"/>
      <c r="P65" s="31">
        <f t="shared" si="4"/>
        <v>0</v>
      </c>
      <c r="Q65" s="31">
        <f>290000-51628</f>
        <v>238372</v>
      </c>
      <c r="R65" s="31">
        <f>290000-51628</f>
        <v>238372</v>
      </c>
      <c r="S65" s="31">
        <f t="shared" si="5"/>
        <v>0</v>
      </c>
      <c r="T65" s="31"/>
      <c r="U65" s="31"/>
      <c r="V65" s="31">
        <f t="shared" si="6"/>
        <v>0</v>
      </c>
      <c r="W65" s="31"/>
      <c r="X65" s="31"/>
      <c r="Y65" s="31">
        <f t="shared" si="7"/>
        <v>0</v>
      </c>
      <c r="Z65" s="31"/>
      <c r="AA65" s="31"/>
      <c r="AB65" s="31">
        <f t="shared" si="8"/>
        <v>0</v>
      </c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</row>
    <row r="66" spans="1:194" s="21" customFormat="1" ht="47.25" x14ac:dyDescent="0.25">
      <c r="A66" s="29" t="s">
        <v>70</v>
      </c>
      <c r="B66" s="31">
        <f t="shared" si="0"/>
        <v>314927</v>
      </c>
      <c r="C66" s="31">
        <f t="shared" si="0"/>
        <v>314927</v>
      </c>
      <c r="D66" s="31">
        <f t="shared" si="0"/>
        <v>0</v>
      </c>
      <c r="E66" s="31"/>
      <c r="F66" s="31"/>
      <c r="G66" s="31">
        <f t="shared" si="1"/>
        <v>0</v>
      </c>
      <c r="H66" s="31"/>
      <c r="I66" s="31"/>
      <c r="J66" s="31">
        <f t="shared" si="2"/>
        <v>0</v>
      </c>
      <c r="K66" s="31"/>
      <c r="L66" s="31"/>
      <c r="M66" s="31">
        <f t="shared" si="3"/>
        <v>0</v>
      </c>
      <c r="N66" s="31"/>
      <c r="O66" s="31"/>
      <c r="P66" s="31">
        <f t="shared" si="4"/>
        <v>0</v>
      </c>
      <c r="Q66" s="31">
        <f>309177+5750</f>
        <v>314927</v>
      </c>
      <c r="R66" s="31">
        <f>309177+5750</f>
        <v>314927</v>
      </c>
      <c r="S66" s="31">
        <f t="shared" si="5"/>
        <v>0</v>
      </c>
      <c r="T66" s="31"/>
      <c r="U66" s="31"/>
      <c r="V66" s="31">
        <f t="shared" si="6"/>
        <v>0</v>
      </c>
      <c r="W66" s="31"/>
      <c r="X66" s="31"/>
      <c r="Y66" s="31">
        <f t="shared" si="7"/>
        <v>0</v>
      </c>
      <c r="Z66" s="31"/>
      <c r="AA66" s="31"/>
      <c r="AB66" s="31">
        <f t="shared" si="8"/>
        <v>0</v>
      </c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</row>
    <row r="67" spans="1:194" s="22" customFormat="1" ht="47.25" x14ac:dyDescent="0.25">
      <c r="A67" s="27" t="s">
        <v>71</v>
      </c>
      <c r="B67" s="25">
        <f t="shared" si="0"/>
        <v>11400</v>
      </c>
      <c r="C67" s="25">
        <f t="shared" si="0"/>
        <v>11400</v>
      </c>
      <c r="D67" s="25">
        <f t="shared" si="0"/>
        <v>0</v>
      </c>
      <c r="E67" s="25"/>
      <c r="F67" s="25"/>
      <c r="G67" s="25">
        <f t="shared" si="1"/>
        <v>0</v>
      </c>
      <c r="H67" s="25"/>
      <c r="I67" s="25"/>
      <c r="J67" s="25">
        <f t="shared" si="2"/>
        <v>0</v>
      </c>
      <c r="K67" s="25"/>
      <c r="L67" s="25"/>
      <c r="M67" s="25">
        <f t="shared" si="3"/>
        <v>0</v>
      </c>
      <c r="N67" s="25">
        <v>11400</v>
      </c>
      <c r="O67" s="25">
        <v>11400</v>
      </c>
      <c r="P67" s="25">
        <f t="shared" si="4"/>
        <v>0</v>
      </c>
      <c r="Q67" s="25"/>
      <c r="R67" s="25"/>
      <c r="S67" s="25">
        <f t="shared" si="5"/>
        <v>0</v>
      </c>
      <c r="T67" s="25"/>
      <c r="U67" s="25"/>
      <c r="V67" s="25">
        <f t="shared" si="6"/>
        <v>0</v>
      </c>
      <c r="W67" s="25"/>
      <c r="X67" s="25"/>
      <c r="Y67" s="25">
        <f t="shared" si="7"/>
        <v>0</v>
      </c>
      <c r="Z67" s="25"/>
      <c r="AA67" s="25"/>
      <c r="AB67" s="25">
        <f t="shared" si="8"/>
        <v>0</v>
      </c>
    </row>
    <row r="68" spans="1:194" s="22" customFormat="1" ht="47.25" x14ac:dyDescent="0.25">
      <c r="A68" s="27" t="s">
        <v>72</v>
      </c>
      <c r="B68" s="25">
        <f t="shared" si="0"/>
        <v>3360</v>
      </c>
      <c r="C68" s="25">
        <f t="shared" si="0"/>
        <v>3360</v>
      </c>
      <c r="D68" s="25">
        <f t="shared" si="0"/>
        <v>0</v>
      </c>
      <c r="E68" s="25"/>
      <c r="F68" s="25"/>
      <c r="G68" s="25">
        <f t="shared" si="1"/>
        <v>0</v>
      </c>
      <c r="H68" s="25"/>
      <c r="I68" s="25"/>
      <c r="J68" s="25">
        <f t="shared" si="2"/>
        <v>0</v>
      </c>
      <c r="K68" s="25"/>
      <c r="L68" s="25"/>
      <c r="M68" s="25">
        <f t="shared" si="3"/>
        <v>0</v>
      </c>
      <c r="N68" s="25">
        <v>3360</v>
      </c>
      <c r="O68" s="25">
        <v>3360</v>
      </c>
      <c r="P68" s="25">
        <f t="shared" si="4"/>
        <v>0</v>
      </c>
      <c r="Q68" s="25"/>
      <c r="R68" s="25"/>
      <c r="S68" s="25">
        <f t="shared" si="5"/>
        <v>0</v>
      </c>
      <c r="T68" s="25"/>
      <c r="U68" s="25"/>
      <c r="V68" s="25">
        <f t="shared" si="6"/>
        <v>0</v>
      </c>
      <c r="W68" s="25"/>
      <c r="X68" s="25"/>
      <c r="Y68" s="25">
        <f t="shared" si="7"/>
        <v>0</v>
      </c>
      <c r="Z68" s="25"/>
      <c r="AA68" s="25"/>
      <c r="AB68" s="25">
        <f t="shared" si="8"/>
        <v>0</v>
      </c>
    </row>
    <row r="69" spans="1:194" s="22" customFormat="1" x14ac:dyDescent="0.25">
      <c r="A69" s="27" t="s">
        <v>73</v>
      </c>
      <c r="B69" s="25">
        <f t="shared" si="0"/>
        <v>4829</v>
      </c>
      <c r="C69" s="25">
        <f t="shared" si="0"/>
        <v>4829</v>
      </c>
      <c r="D69" s="25">
        <f t="shared" si="0"/>
        <v>0</v>
      </c>
      <c r="E69" s="25"/>
      <c r="F69" s="25"/>
      <c r="G69" s="25">
        <f t="shared" si="1"/>
        <v>0</v>
      </c>
      <c r="H69" s="25"/>
      <c r="I69" s="25"/>
      <c r="J69" s="25">
        <f t="shared" si="2"/>
        <v>0</v>
      </c>
      <c r="K69" s="25"/>
      <c r="L69" s="25"/>
      <c r="M69" s="25">
        <f t="shared" si="3"/>
        <v>0</v>
      </c>
      <c r="N69" s="25">
        <f>1940+2889</f>
        <v>4829</v>
      </c>
      <c r="O69" s="25">
        <f>1940+2889</f>
        <v>4829</v>
      </c>
      <c r="P69" s="25">
        <f t="shared" si="4"/>
        <v>0</v>
      </c>
      <c r="Q69" s="25"/>
      <c r="R69" s="25"/>
      <c r="S69" s="25">
        <f t="shared" si="5"/>
        <v>0</v>
      </c>
      <c r="T69" s="25"/>
      <c r="U69" s="25"/>
      <c r="V69" s="25">
        <f t="shared" si="6"/>
        <v>0</v>
      </c>
      <c r="W69" s="25"/>
      <c r="X69" s="25"/>
      <c r="Y69" s="25">
        <f t="shared" si="7"/>
        <v>0</v>
      </c>
      <c r="Z69" s="25"/>
      <c r="AA69" s="25"/>
      <c r="AB69" s="25">
        <f t="shared" si="8"/>
        <v>0</v>
      </c>
    </row>
    <row r="70" spans="1:194" s="22" customFormat="1" x14ac:dyDescent="0.25">
      <c r="A70" s="27" t="s">
        <v>74</v>
      </c>
      <c r="B70" s="25">
        <f t="shared" si="0"/>
        <v>35000</v>
      </c>
      <c r="C70" s="25">
        <f t="shared" si="0"/>
        <v>35000</v>
      </c>
      <c r="D70" s="25">
        <f t="shared" si="0"/>
        <v>0</v>
      </c>
      <c r="E70" s="25"/>
      <c r="F70" s="25"/>
      <c r="G70" s="25">
        <f t="shared" si="1"/>
        <v>0</v>
      </c>
      <c r="H70" s="25"/>
      <c r="I70" s="25"/>
      <c r="J70" s="25">
        <f t="shared" si="2"/>
        <v>0</v>
      </c>
      <c r="K70" s="25"/>
      <c r="L70" s="25"/>
      <c r="M70" s="25">
        <f t="shared" si="3"/>
        <v>0</v>
      </c>
      <c r="N70" s="25">
        <v>35000</v>
      </c>
      <c r="O70" s="25">
        <v>35000</v>
      </c>
      <c r="P70" s="25">
        <f t="shared" si="4"/>
        <v>0</v>
      </c>
      <c r="Q70" s="25"/>
      <c r="R70" s="25"/>
      <c r="S70" s="25">
        <f t="shared" si="5"/>
        <v>0</v>
      </c>
      <c r="T70" s="25"/>
      <c r="U70" s="25"/>
      <c r="V70" s="25">
        <f t="shared" si="6"/>
        <v>0</v>
      </c>
      <c r="W70" s="25"/>
      <c r="X70" s="25"/>
      <c r="Y70" s="25">
        <f t="shared" si="7"/>
        <v>0</v>
      </c>
      <c r="Z70" s="25"/>
      <c r="AA70" s="25"/>
      <c r="AB70" s="25">
        <f t="shared" si="8"/>
        <v>0</v>
      </c>
    </row>
    <row r="71" spans="1:194" s="22" customFormat="1" ht="31.5" x14ac:dyDescent="0.25">
      <c r="A71" s="19" t="s">
        <v>75</v>
      </c>
      <c r="B71" s="20">
        <f t="shared" si="0"/>
        <v>7990166</v>
      </c>
      <c r="C71" s="20">
        <f t="shared" si="0"/>
        <v>8052475</v>
      </c>
      <c r="D71" s="20">
        <f t="shared" si="0"/>
        <v>62309</v>
      </c>
      <c r="E71" s="20">
        <f>SUM(E72)</f>
        <v>276000</v>
      </c>
      <c r="F71" s="20">
        <f>SUM(F72)</f>
        <v>455147</v>
      </c>
      <c r="G71" s="20">
        <f t="shared" si="1"/>
        <v>179147</v>
      </c>
      <c r="H71" s="20">
        <f>SUM(H72)</f>
        <v>17280</v>
      </c>
      <c r="I71" s="20">
        <f>SUM(I72)</f>
        <v>630157</v>
      </c>
      <c r="J71" s="20">
        <f t="shared" si="2"/>
        <v>612877</v>
      </c>
      <c r="K71" s="20">
        <f>SUM(K72)</f>
        <v>1369739</v>
      </c>
      <c r="L71" s="20">
        <f>SUM(L72)</f>
        <v>621576</v>
      </c>
      <c r="M71" s="20">
        <f t="shared" si="3"/>
        <v>-748163</v>
      </c>
      <c r="N71" s="20">
        <f>SUM(N72)</f>
        <v>0</v>
      </c>
      <c r="O71" s="20">
        <f>SUM(O72)</f>
        <v>0</v>
      </c>
      <c r="P71" s="20">
        <f t="shared" si="4"/>
        <v>0</v>
      </c>
      <c r="Q71" s="20">
        <f>SUM(Q72)</f>
        <v>112451</v>
      </c>
      <c r="R71" s="20">
        <f>SUM(R72)</f>
        <v>112451</v>
      </c>
      <c r="S71" s="20">
        <f t="shared" si="5"/>
        <v>0</v>
      </c>
      <c r="T71" s="20">
        <f>SUM(T72)</f>
        <v>0</v>
      </c>
      <c r="U71" s="20">
        <f>SUM(U72)</f>
        <v>0</v>
      </c>
      <c r="V71" s="20">
        <f t="shared" si="6"/>
        <v>0</v>
      </c>
      <c r="W71" s="20">
        <f>SUM(W72)</f>
        <v>916273</v>
      </c>
      <c r="X71" s="20">
        <f>SUM(X72)</f>
        <v>916273</v>
      </c>
      <c r="Y71" s="20">
        <f t="shared" si="7"/>
        <v>0</v>
      </c>
      <c r="Z71" s="20">
        <f>SUM(Z72)</f>
        <v>5298423</v>
      </c>
      <c r="AA71" s="20">
        <f>SUM(AA72)</f>
        <v>5316871</v>
      </c>
      <c r="AB71" s="20">
        <f t="shared" si="8"/>
        <v>18448</v>
      </c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</row>
    <row r="72" spans="1:194" s="22" customFormat="1" x14ac:dyDescent="0.25">
      <c r="A72" s="19" t="s">
        <v>20</v>
      </c>
      <c r="B72" s="20">
        <f t="shared" si="0"/>
        <v>7990166</v>
      </c>
      <c r="C72" s="20">
        <f t="shared" si="0"/>
        <v>8052475</v>
      </c>
      <c r="D72" s="20">
        <f t="shared" si="0"/>
        <v>62309</v>
      </c>
      <c r="E72" s="20">
        <f>SUM(E73:E91,E92,E129)</f>
        <v>276000</v>
      </c>
      <c r="F72" s="20">
        <f>SUM(F73:F91,F92,F129)</f>
        <v>455147</v>
      </c>
      <c r="G72" s="20">
        <f t="shared" si="1"/>
        <v>179147</v>
      </c>
      <c r="H72" s="20">
        <f>SUM(H73:H91,H92,H129)</f>
        <v>17280</v>
      </c>
      <c r="I72" s="20">
        <f>SUM(I73:I91,I92,I129)</f>
        <v>630157</v>
      </c>
      <c r="J72" s="20">
        <f t="shared" si="2"/>
        <v>612877</v>
      </c>
      <c r="K72" s="20">
        <f>SUM(K73:K91,K92,K129)</f>
        <v>1369739</v>
      </c>
      <c r="L72" s="20">
        <f>SUM(L73:L91,L92,L129)</f>
        <v>621576</v>
      </c>
      <c r="M72" s="20">
        <f t="shared" si="3"/>
        <v>-748163</v>
      </c>
      <c r="N72" s="20">
        <f>SUM(N73:N91,N92,N129)</f>
        <v>0</v>
      </c>
      <c r="O72" s="20">
        <f>SUM(O73:O91,O92,O129)</f>
        <v>0</v>
      </c>
      <c r="P72" s="20">
        <f t="shared" si="4"/>
        <v>0</v>
      </c>
      <c r="Q72" s="20">
        <f>SUM(Q73:Q91,Q92,Q129)</f>
        <v>112451</v>
      </c>
      <c r="R72" s="20">
        <f>SUM(R73:R91,R92,R129)</f>
        <v>112451</v>
      </c>
      <c r="S72" s="20">
        <f t="shared" si="5"/>
        <v>0</v>
      </c>
      <c r="T72" s="20">
        <f>SUM(T73:T91,T92,T129)</f>
        <v>0</v>
      </c>
      <c r="U72" s="20">
        <f>SUM(U73:U91,U92,U129)</f>
        <v>0</v>
      </c>
      <c r="V72" s="20">
        <f t="shared" si="6"/>
        <v>0</v>
      </c>
      <c r="W72" s="20">
        <f>SUM(W73:W91,W92,W129)</f>
        <v>916273</v>
      </c>
      <c r="X72" s="20">
        <f>SUM(X73:X91,X92,X129)</f>
        <v>916273</v>
      </c>
      <c r="Y72" s="20">
        <f t="shared" si="7"/>
        <v>0</v>
      </c>
      <c r="Z72" s="20">
        <f>SUM(Z73:Z91,Z92,Z129)</f>
        <v>5298423</v>
      </c>
      <c r="AA72" s="20">
        <f>SUM(AA73:AA91,AA92,AA129)</f>
        <v>5316871</v>
      </c>
      <c r="AB72" s="20">
        <f t="shared" si="8"/>
        <v>18448</v>
      </c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</row>
    <row r="73" spans="1:194" s="22" customFormat="1" ht="31.5" x14ac:dyDescent="0.25">
      <c r="A73" s="27" t="s">
        <v>76</v>
      </c>
      <c r="B73" s="28">
        <f t="shared" si="0"/>
        <v>3085706</v>
      </c>
      <c r="C73" s="28">
        <f t="shared" si="0"/>
        <v>3085706</v>
      </c>
      <c r="D73" s="28">
        <f t="shared" si="0"/>
        <v>0</v>
      </c>
      <c r="E73" s="28"/>
      <c r="F73" s="28"/>
      <c r="G73" s="28">
        <f t="shared" si="1"/>
        <v>0</v>
      </c>
      <c r="H73" s="28"/>
      <c r="I73" s="28"/>
      <c r="J73" s="28">
        <f t="shared" si="2"/>
        <v>0</v>
      </c>
      <c r="K73" s="28"/>
      <c r="L73" s="28"/>
      <c r="M73" s="28">
        <f t="shared" si="3"/>
        <v>0</v>
      </c>
      <c r="N73" s="28"/>
      <c r="O73" s="28"/>
      <c r="P73" s="28">
        <f t="shared" si="4"/>
        <v>0</v>
      </c>
      <c r="Q73" s="28"/>
      <c r="R73" s="28"/>
      <c r="S73" s="28">
        <f t="shared" si="5"/>
        <v>0</v>
      </c>
      <c r="T73" s="28"/>
      <c r="U73" s="28"/>
      <c r="V73" s="28">
        <f t="shared" si="6"/>
        <v>0</v>
      </c>
      <c r="W73" s="28"/>
      <c r="X73" s="28"/>
      <c r="Y73" s="28">
        <f t="shared" si="7"/>
        <v>0</v>
      </c>
      <c r="Z73" s="28">
        <v>3085706</v>
      </c>
      <c r="AA73" s="28">
        <v>3085706</v>
      </c>
      <c r="AB73" s="28">
        <f t="shared" si="8"/>
        <v>0</v>
      </c>
    </row>
    <row r="74" spans="1:194" s="22" customFormat="1" x14ac:dyDescent="0.25">
      <c r="A74" s="27" t="s">
        <v>77</v>
      </c>
      <c r="B74" s="28">
        <f t="shared" si="0"/>
        <v>90000</v>
      </c>
      <c r="C74" s="28">
        <f t="shared" si="0"/>
        <v>90000</v>
      </c>
      <c r="D74" s="28">
        <f t="shared" si="0"/>
        <v>0</v>
      </c>
      <c r="E74" s="28"/>
      <c r="F74" s="28"/>
      <c r="G74" s="28">
        <f t="shared" si="1"/>
        <v>0</v>
      </c>
      <c r="H74" s="28"/>
      <c r="I74" s="28"/>
      <c r="J74" s="28">
        <f t="shared" si="2"/>
        <v>0</v>
      </c>
      <c r="K74" s="28"/>
      <c r="L74" s="28"/>
      <c r="M74" s="28">
        <f t="shared" si="3"/>
        <v>0</v>
      </c>
      <c r="N74" s="28"/>
      <c r="O74" s="28"/>
      <c r="P74" s="28">
        <f t="shared" si="4"/>
        <v>0</v>
      </c>
      <c r="Q74" s="28"/>
      <c r="R74" s="28"/>
      <c r="S74" s="28">
        <f t="shared" si="5"/>
        <v>0</v>
      </c>
      <c r="T74" s="28"/>
      <c r="U74" s="28"/>
      <c r="V74" s="28">
        <f t="shared" si="6"/>
        <v>0</v>
      </c>
      <c r="W74" s="28"/>
      <c r="X74" s="28"/>
      <c r="Y74" s="28">
        <f t="shared" si="7"/>
        <v>0</v>
      </c>
      <c r="Z74" s="28">
        <v>90000</v>
      </c>
      <c r="AA74" s="28">
        <v>90000</v>
      </c>
      <c r="AB74" s="28">
        <f t="shared" si="8"/>
        <v>0</v>
      </c>
    </row>
    <row r="75" spans="1:194" s="22" customFormat="1" x14ac:dyDescent="0.25">
      <c r="A75" s="27" t="s">
        <v>78</v>
      </c>
      <c r="B75" s="28">
        <f t="shared" si="0"/>
        <v>3732</v>
      </c>
      <c r="C75" s="28">
        <f t="shared" si="0"/>
        <v>3732</v>
      </c>
      <c r="D75" s="28">
        <f t="shared" si="0"/>
        <v>0</v>
      </c>
      <c r="E75" s="28"/>
      <c r="F75" s="28"/>
      <c r="G75" s="28">
        <f t="shared" si="1"/>
        <v>0</v>
      </c>
      <c r="H75" s="28"/>
      <c r="I75" s="28"/>
      <c r="J75" s="28">
        <f t="shared" si="2"/>
        <v>0</v>
      </c>
      <c r="K75" s="28">
        <v>3732</v>
      </c>
      <c r="L75" s="28">
        <v>3732</v>
      </c>
      <c r="M75" s="28">
        <f t="shared" si="3"/>
        <v>0</v>
      </c>
      <c r="N75" s="28"/>
      <c r="O75" s="28"/>
      <c r="P75" s="28">
        <f t="shared" si="4"/>
        <v>0</v>
      </c>
      <c r="Q75" s="28"/>
      <c r="R75" s="28"/>
      <c r="S75" s="28">
        <f t="shared" si="5"/>
        <v>0</v>
      </c>
      <c r="T75" s="28"/>
      <c r="U75" s="28"/>
      <c r="V75" s="28">
        <f t="shared" si="6"/>
        <v>0</v>
      </c>
      <c r="W75" s="28"/>
      <c r="X75" s="28"/>
      <c r="Y75" s="28">
        <f t="shared" si="7"/>
        <v>0</v>
      </c>
      <c r="Z75" s="28"/>
      <c r="AA75" s="28"/>
      <c r="AB75" s="28">
        <f t="shared" si="8"/>
        <v>0</v>
      </c>
    </row>
    <row r="76" spans="1:194" s="22" customFormat="1" x14ac:dyDescent="0.25">
      <c r="A76" s="32" t="s">
        <v>79</v>
      </c>
      <c r="B76" s="28">
        <f t="shared" si="0"/>
        <v>248246</v>
      </c>
      <c r="C76" s="28">
        <f t="shared" si="0"/>
        <v>248246</v>
      </c>
      <c r="D76" s="28">
        <f t="shared" si="0"/>
        <v>0</v>
      </c>
      <c r="E76" s="28"/>
      <c r="F76" s="28"/>
      <c r="G76" s="28">
        <f t="shared" si="1"/>
        <v>0</v>
      </c>
      <c r="H76" s="28"/>
      <c r="I76" s="28"/>
      <c r="J76" s="28">
        <f t="shared" si="2"/>
        <v>0</v>
      </c>
      <c r="K76" s="28"/>
      <c r="L76" s="28"/>
      <c r="M76" s="28">
        <f t="shared" si="3"/>
        <v>0</v>
      </c>
      <c r="N76" s="28"/>
      <c r="O76" s="28"/>
      <c r="P76" s="28">
        <f t="shared" si="4"/>
        <v>0</v>
      </c>
      <c r="Q76" s="28"/>
      <c r="R76" s="28"/>
      <c r="S76" s="28">
        <f t="shared" si="5"/>
        <v>0</v>
      </c>
      <c r="T76" s="28"/>
      <c r="U76" s="28"/>
      <c r="V76" s="28">
        <f t="shared" si="6"/>
        <v>0</v>
      </c>
      <c r="W76" s="28">
        <v>248246</v>
      </c>
      <c r="X76" s="28">
        <v>248246</v>
      </c>
      <c r="Y76" s="28">
        <f t="shared" si="7"/>
        <v>0</v>
      </c>
      <c r="Z76" s="28"/>
      <c r="AA76" s="28"/>
      <c r="AB76" s="28">
        <f t="shared" si="8"/>
        <v>0</v>
      </c>
    </row>
    <row r="77" spans="1:194" s="22" customFormat="1" ht="47.25" x14ac:dyDescent="0.25">
      <c r="A77" s="32" t="s">
        <v>80</v>
      </c>
      <c r="B77" s="28">
        <f t="shared" si="0"/>
        <v>500000</v>
      </c>
      <c r="C77" s="28">
        <f t="shared" si="0"/>
        <v>500000</v>
      </c>
      <c r="D77" s="28">
        <f t="shared" si="0"/>
        <v>0</v>
      </c>
      <c r="E77" s="28"/>
      <c r="F77" s="28"/>
      <c r="G77" s="28">
        <f t="shared" si="1"/>
        <v>0</v>
      </c>
      <c r="H77" s="28"/>
      <c r="I77" s="28"/>
      <c r="J77" s="28">
        <f t="shared" si="2"/>
        <v>0</v>
      </c>
      <c r="K77" s="28"/>
      <c r="L77" s="28"/>
      <c r="M77" s="28">
        <f t="shared" si="3"/>
        <v>0</v>
      </c>
      <c r="N77" s="28"/>
      <c r="O77" s="28"/>
      <c r="P77" s="28">
        <f t="shared" si="4"/>
        <v>0</v>
      </c>
      <c r="Q77" s="28"/>
      <c r="R77" s="28"/>
      <c r="S77" s="28">
        <f t="shared" si="5"/>
        <v>0</v>
      </c>
      <c r="T77" s="28"/>
      <c r="U77" s="28"/>
      <c r="V77" s="28">
        <f t="shared" si="6"/>
        <v>0</v>
      </c>
      <c r="W77" s="28">
        <v>500000</v>
      </c>
      <c r="X77" s="28">
        <v>500000</v>
      </c>
      <c r="Y77" s="28">
        <f t="shared" si="7"/>
        <v>0</v>
      </c>
      <c r="Z77" s="28"/>
      <c r="AA77" s="28"/>
      <c r="AB77" s="28">
        <f t="shared" si="8"/>
        <v>0</v>
      </c>
    </row>
    <row r="78" spans="1:194" s="22" customFormat="1" x14ac:dyDescent="0.25">
      <c r="A78" s="32" t="s">
        <v>81</v>
      </c>
      <c r="B78" s="28">
        <f t="shared" si="0"/>
        <v>226000</v>
      </c>
      <c r="C78" s="28">
        <f t="shared" si="0"/>
        <v>226000</v>
      </c>
      <c r="D78" s="28">
        <f t="shared" si="0"/>
        <v>0</v>
      </c>
      <c r="E78" s="28"/>
      <c r="F78" s="28"/>
      <c r="G78" s="28">
        <f t="shared" si="1"/>
        <v>0</v>
      </c>
      <c r="H78" s="28">
        <f>0</f>
        <v>0</v>
      </c>
      <c r="I78" s="28">
        <f>217254</f>
        <v>217254</v>
      </c>
      <c r="J78" s="28">
        <f t="shared" si="2"/>
        <v>217254</v>
      </c>
      <c r="K78" s="28">
        <f>210000+16000</f>
        <v>226000</v>
      </c>
      <c r="L78" s="28">
        <f>210000+16000-217254</f>
        <v>8746</v>
      </c>
      <c r="M78" s="28">
        <f t="shared" si="3"/>
        <v>-217254</v>
      </c>
      <c r="N78" s="28"/>
      <c r="O78" s="28"/>
      <c r="P78" s="28">
        <f t="shared" si="4"/>
        <v>0</v>
      </c>
      <c r="Q78" s="28"/>
      <c r="R78" s="28"/>
      <c r="S78" s="28">
        <f t="shared" si="5"/>
        <v>0</v>
      </c>
      <c r="T78" s="28"/>
      <c r="U78" s="28"/>
      <c r="V78" s="28">
        <f t="shared" si="6"/>
        <v>0</v>
      </c>
      <c r="W78" s="28"/>
      <c r="X78" s="28"/>
      <c r="Y78" s="28">
        <f t="shared" si="7"/>
        <v>0</v>
      </c>
      <c r="Z78" s="28"/>
      <c r="AA78" s="28"/>
      <c r="AB78" s="28">
        <f t="shared" si="8"/>
        <v>0</v>
      </c>
    </row>
    <row r="79" spans="1:194" s="41" customFormat="1" ht="31.5" x14ac:dyDescent="0.25">
      <c r="A79" s="65" t="s">
        <v>82</v>
      </c>
      <c r="B79" s="62">
        <f t="shared" si="0"/>
        <v>0</v>
      </c>
      <c r="C79" s="62">
        <f t="shared" si="0"/>
        <v>5854</v>
      </c>
      <c r="D79" s="62">
        <f t="shared" si="0"/>
        <v>5854</v>
      </c>
      <c r="E79" s="62"/>
      <c r="F79" s="62"/>
      <c r="G79" s="62">
        <f t="shared" si="1"/>
        <v>0</v>
      </c>
      <c r="H79" s="62">
        <f>0</f>
        <v>0</v>
      </c>
      <c r="I79" s="62">
        <f>5854</f>
        <v>5854</v>
      </c>
      <c r="J79" s="62">
        <f t="shared" si="2"/>
        <v>5854</v>
      </c>
      <c r="K79" s="62"/>
      <c r="L79" s="62"/>
      <c r="M79" s="62">
        <f t="shared" si="3"/>
        <v>0</v>
      </c>
      <c r="N79" s="62"/>
      <c r="O79" s="62"/>
      <c r="P79" s="62">
        <f t="shared" si="4"/>
        <v>0</v>
      </c>
      <c r="Q79" s="62"/>
      <c r="R79" s="62"/>
      <c r="S79" s="62">
        <f t="shared" si="5"/>
        <v>0</v>
      </c>
      <c r="T79" s="62"/>
      <c r="U79" s="62"/>
      <c r="V79" s="62">
        <f t="shared" si="6"/>
        <v>0</v>
      </c>
      <c r="W79" s="62"/>
      <c r="X79" s="62"/>
      <c r="Y79" s="62">
        <f t="shared" si="7"/>
        <v>0</v>
      </c>
      <c r="Z79" s="62"/>
      <c r="AA79" s="62"/>
      <c r="AB79" s="62">
        <f t="shared" si="8"/>
        <v>0</v>
      </c>
    </row>
    <row r="80" spans="1:194" s="22" customFormat="1" ht="31.5" x14ac:dyDescent="0.25">
      <c r="A80" s="32" t="s">
        <v>83</v>
      </c>
      <c r="B80" s="28">
        <f t="shared" si="0"/>
        <v>55000</v>
      </c>
      <c r="C80" s="28">
        <f t="shared" si="0"/>
        <v>55000</v>
      </c>
      <c r="D80" s="28">
        <f t="shared" si="0"/>
        <v>0</v>
      </c>
      <c r="E80" s="28"/>
      <c r="F80" s="28"/>
      <c r="G80" s="28">
        <f t="shared" si="1"/>
        <v>0</v>
      </c>
      <c r="H80" s="28"/>
      <c r="I80" s="28"/>
      <c r="J80" s="28">
        <f t="shared" si="2"/>
        <v>0</v>
      </c>
      <c r="K80" s="28"/>
      <c r="L80" s="28"/>
      <c r="M80" s="28">
        <f t="shared" si="3"/>
        <v>0</v>
      </c>
      <c r="N80" s="28"/>
      <c r="O80" s="28"/>
      <c r="P80" s="28">
        <f t="shared" si="4"/>
        <v>0</v>
      </c>
      <c r="Q80" s="28"/>
      <c r="R80" s="28"/>
      <c r="S80" s="28">
        <f t="shared" si="5"/>
        <v>0</v>
      </c>
      <c r="T80" s="28"/>
      <c r="U80" s="28"/>
      <c r="V80" s="28">
        <f t="shared" si="6"/>
        <v>0</v>
      </c>
      <c r="W80" s="28"/>
      <c r="X80" s="28"/>
      <c r="Y80" s="28">
        <f t="shared" si="7"/>
        <v>0</v>
      </c>
      <c r="Z80" s="28">
        <v>55000</v>
      </c>
      <c r="AA80" s="28">
        <v>55000</v>
      </c>
      <c r="AB80" s="28">
        <f t="shared" si="8"/>
        <v>0</v>
      </c>
    </row>
    <row r="81" spans="1:28" s="22" customFormat="1" ht="31.5" x14ac:dyDescent="0.25">
      <c r="A81" s="32" t="s">
        <v>84</v>
      </c>
      <c r="B81" s="28">
        <f t="shared" si="0"/>
        <v>2509</v>
      </c>
      <c r="C81" s="28">
        <f t="shared" si="0"/>
        <v>2509</v>
      </c>
      <c r="D81" s="28">
        <f t="shared" si="0"/>
        <v>0</v>
      </c>
      <c r="E81" s="28"/>
      <c r="F81" s="28"/>
      <c r="G81" s="28">
        <f t="shared" si="1"/>
        <v>0</v>
      </c>
      <c r="H81" s="28"/>
      <c r="I81" s="28"/>
      <c r="J81" s="28">
        <f t="shared" si="2"/>
        <v>0</v>
      </c>
      <c r="K81" s="28">
        <v>2509</v>
      </c>
      <c r="L81" s="28">
        <v>2509</v>
      </c>
      <c r="M81" s="28">
        <f t="shared" si="3"/>
        <v>0</v>
      </c>
      <c r="N81" s="28"/>
      <c r="O81" s="28"/>
      <c r="P81" s="28">
        <f t="shared" si="4"/>
        <v>0</v>
      </c>
      <c r="Q81" s="28"/>
      <c r="R81" s="28"/>
      <c r="S81" s="28">
        <f t="shared" si="5"/>
        <v>0</v>
      </c>
      <c r="T81" s="28"/>
      <c r="U81" s="28"/>
      <c r="V81" s="28">
        <f t="shared" si="6"/>
        <v>0</v>
      </c>
      <c r="W81" s="28"/>
      <c r="X81" s="28"/>
      <c r="Y81" s="28">
        <f t="shared" si="7"/>
        <v>0</v>
      </c>
      <c r="Z81" s="28"/>
      <c r="AA81" s="28"/>
      <c r="AB81" s="28">
        <f t="shared" si="8"/>
        <v>0</v>
      </c>
    </row>
    <row r="82" spans="1:28" s="22" customFormat="1" ht="141.75" x14ac:dyDescent="0.25">
      <c r="A82" s="32" t="s">
        <v>85</v>
      </c>
      <c r="B82" s="28">
        <f t="shared" si="0"/>
        <v>553000</v>
      </c>
      <c r="C82" s="28">
        <f t="shared" si="0"/>
        <v>607456</v>
      </c>
      <c r="D82" s="28">
        <f t="shared" si="0"/>
        <v>54456</v>
      </c>
      <c r="E82" s="28">
        <v>253000</v>
      </c>
      <c r="F82" s="28">
        <f>253000+160358</f>
        <v>413358</v>
      </c>
      <c r="G82" s="28">
        <f t="shared" si="1"/>
        <v>160358</v>
      </c>
      <c r="H82" s="28">
        <f>0</f>
        <v>0</v>
      </c>
      <c r="I82" s="28">
        <f>8954+54456</f>
        <v>63410</v>
      </c>
      <c r="J82" s="28">
        <f t="shared" si="2"/>
        <v>63410</v>
      </c>
      <c r="K82" s="28">
        <f>300000</f>
        <v>300000</v>
      </c>
      <c r="L82" s="28">
        <f>300000-169312</f>
        <v>130688</v>
      </c>
      <c r="M82" s="28">
        <f t="shared" si="3"/>
        <v>-169312</v>
      </c>
      <c r="N82" s="28"/>
      <c r="O82" s="28"/>
      <c r="P82" s="28">
        <f t="shared" si="4"/>
        <v>0</v>
      </c>
      <c r="Q82" s="28"/>
      <c r="R82" s="28"/>
      <c r="S82" s="28">
        <f t="shared" si="5"/>
        <v>0</v>
      </c>
      <c r="T82" s="28"/>
      <c r="U82" s="28"/>
      <c r="V82" s="28">
        <f t="shared" si="6"/>
        <v>0</v>
      </c>
      <c r="W82" s="28"/>
      <c r="X82" s="28"/>
      <c r="Y82" s="28">
        <f t="shared" si="7"/>
        <v>0</v>
      </c>
      <c r="Z82" s="28"/>
      <c r="AA82" s="28"/>
      <c r="AB82" s="28">
        <f t="shared" si="8"/>
        <v>0</v>
      </c>
    </row>
    <row r="83" spans="1:28" s="22" customFormat="1" ht="31.5" x14ac:dyDescent="0.25">
      <c r="A83" s="27" t="s">
        <v>86</v>
      </c>
      <c r="B83" s="28">
        <f t="shared" si="0"/>
        <v>136727</v>
      </c>
      <c r="C83" s="28">
        <f t="shared" si="0"/>
        <v>136727</v>
      </c>
      <c r="D83" s="28">
        <f t="shared" si="0"/>
        <v>0</v>
      </c>
      <c r="E83" s="28"/>
      <c r="F83" s="28"/>
      <c r="G83" s="28">
        <f t="shared" si="1"/>
        <v>0</v>
      </c>
      <c r="H83" s="28"/>
      <c r="I83" s="28"/>
      <c r="J83" s="28">
        <f t="shared" si="2"/>
        <v>0</v>
      </c>
      <c r="K83" s="28"/>
      <c r="L83" s="28"/>
      <c r="M83" s="28">
        <f t="shared" si="3"/>
        <v>0</v>
      </c>
      <c r="N83" s="28"/>
      <c r="O83" s="28"/>
      <c r="P83" s="28">
        <f t="shared" si="4"/>
        <v>0</v>
      </c>
      <c r="Q83" s="28"/>
      <c r="R83" s="28"/>
      <c r="S83" s="28">
        <f t="shared" si="5"/>
        <v>0</v>
      </c>
      <c r="T83" s="28"/>
      <c r="U83" s="28"/>
      <c r="V83" s="28">
        <f t="shared" si="6"/>
        <v>0</v>
      </c>
      <c r="W83" s="28">
        <v>136727</v>
      </c>
      <c r="X83" s="28">
        <v>136727</v>
      </c>
      <c r="Y83" s="28">
        <f t="shared" si="7"/>
        <v>0</v>
      </c>
      <c r="Z83" s="28"/>
      <c r="AA83" s="28"/>
      <c r="AB83" s="28">
        <f t="shared" si="8"/>
        <v>0</v>
      </c>
    </row>
    <row r="84" spans="1:28" s="22" customFormat="1" ht="63" x14ac:dyDescent="0.25">
      <c r="A84" s="24" t="s">
        <v>87</v>
      </c>
      <c r="B84" s="28">
        <f t="shared" si="0"/>
        <v>112451</v>
      </c>
      <c r="C84" s="28">
        <f t="shared" si="0"/>
        <v>112451</v>
      </c>
      <c r="D84" s="28">
        <f t="shared" si="0"/>
        <v>0</v>
      </c>
      <c r="E84" s="28"/>
      <c r="F84" s="28"/>
      <c r="G84" s="28">
        <f t="shared" si="1"/>
        <v>0</v>
      </c>
      <c r="H84" s="28"/>
      <c r="I84" s="28"/>
      <c r="J84" s="28">
        <f t="shared" si="2"/>
        <v>0</v>
      </c>
      <c r="K84" s="28"/>
      <c r="L84" s="28"/>
      <c r="M84" s="28">
        <f t="shared" si="3"/>
        <v>0</v>
      </c>
      <c r="N84" s="28"/>
      <c r="O84" s="28"/>
      <c r="P84" s="28">
        <f t="shared" si="4"/>
        <v>0</v>
      </c>
      <c r="Q84" s="28">
        <v>112451</v>
      </c>
      <c r="R84" s="28">
        <v>112451</v>
      </c>
      <c r="S84" s="28">
        <f t="shared" si="5"/>
        <v>0</v>
      </c>
      <c r="T84" s="28"/>
      <c r="U84" s="28"/>
      <c r="V84" s="28">
        <f t="shared" si="6"/>
        <v>0</v>
      </c>
      <c r="W84" s="28"/>
      <c r="X84" s="28"/>
      <c r="Y84" s="28">
        <f t="shared" si="7"/>
        <v>0</v>
      </c>
      <c r="Z84" s="28"/>
      <c r="AA84" s="28"/>
      <c r="AB84" s="28">
        <f t="shared" si="8"/>
        <v>0</v>
      </c>
    </row>
    <row r="85" spans="1:28" s="22" customFormat="1" ht="31.5" x14ac:dyDescent="0.25">
      <c r="A85" s="24" t="s">
        <v>88</v>
      </c>
      <c r="B85" s="28">
        <f t="shared" ref="B85:D148" si="18">E85+H85+K85+N85+Q85+T85+W85+Z85</f>
        <v>1557717</v>
      </c>
      <c r="C85" s="28">
        <f t="shared" si="18"/>
        <v>1557717</v>
      </c>
      <c r="D85" s="28">
        <f t="shared" si="18"/>
        <v>0</v>
      </c>
      <c r="E85" s="28"/>
      <c r="F85" s="28"/>
      <c r="G85" s="28">
        <f t="shared" ref="G85:G148" si="19">F85-E85</f>
        <v>0</v>
      </c>
      <c r="H85" s="28"/>
      <c r="I85" s="28"/>
      <c r="J85" s="28">
        <f t="shared" ref="J85:J148" si="20">I85-H85</f>
        <v>0</v>
      </c>
      <c r="K85" s="28"/>
      <c r="L85" s="28"/>
      <c r="M85" s="28">
        <f t="shared" ref="M85:M148" si="21">L85-K85</f>
        <v>0</v>
      </c>
      <c r="N85" s="28"/>
      <c r="O85" s="28"/>
      <c r="P85" s="28">
        <f t="shared" ref="P85:P148" si="22">O85-N85</f>
        <v>0</v>
      </c>
      <c r="Q85" s="28"/>
      <c r="R85" s="28"/>
      <c r="S85" s="28">
        <f t="shared" ref="S85:S148" si="23">R85-Q85</f>
        <v>0</v>
      </c>
      <c r="T85" s="28"/>
      <c r="U85" s="28"/>
      <c r="V85" s="28">
        <f t="shared" ref="V85:V148" si="24">U85-T85</f>
        <v>0</v>
      </c>
      <c r="W85" s="28"/>
      <c r="X85" s="28"/>
      <c r="Y85" s="28">
        <f t="shared" ref="Y85:Y148" si="25">X85-W85</f>
        <v>0</v>
      </c>
      <c r="Z85" s="28">
        <v>1557717</v>
      </c>
      <c r="AA85" s="28">
        <v>1557717</v>
      </c>
      <c r="AB85" s="28">
        <f t="shared" ref="AB85:AB148" si="26">AA85-Z85</f>
        <v>0</v>
      </c>
    </row>
    <row r="86" spans="1:28" s="22" customFormat="1" x14ac:dyDescent="0.25">
      <c r="A86" s="32" t="s">
        <v>89</v>
      </c>
      <c r="B86" s="28">
        <f t="shared" si="18"/>
        <v>450000</v>
      </c>
      <c r="C86" s="28">
        <f t="shared" si="18"/>
        <v>450000</v>
      </c>
      <c r="D86" s="28">
        <f t="shared" si="18"/>
        <v>0</v>
      </c>
      <c r="E86" s="28"/>
      <c r="F86" s="28"/>
      <c r="G86" s="28">
        <f t="shared" si="19"/>
        <v>0</v>
      </c>
      <c r="H86" s="28"/>
      <c r="I86" s="28"/>
      <c r="J86" s="28">
        <f t="shared" si="20"/>
        <v>0</v>
      </c>
      <c r="K86" s="28"/>
      <c r="L86" s="28"/>
      <c r="M86" s="28">
        <f t="shared" si="21"/>
        <v>0</v>
      </c>
      <c r="N86" s="28"/>
      <c r="O86" s="28"/>
      <c r="P86" s="28">
        <f t="shared" si="22"/>
        <v>0</v>
      </c>
      <c r="Q86" s="28"/>
      <c r="R86" s="28"/>
      <c r="S86" s="28">
        <f t="shared" si="23"/>
        <v>0</v>
      </c>
      <c r="T86" s="28"/>
      <c r="U86" s="28"/>
      <c r="V86" s="28">
        <f t="shared" si="24"/>
        <v>0</v>
      </c>
      <c r="W86" s="28"/>
      <c r="X86" s="28"/>
      <c r="Y86" s="28">
        <f t="shared" si="25"/>
        <v>0</v>
      </c>
      <c r="Z86" s="28">
        <v>450000</v>
      </c>
      <c r="AA86" s="28">
        <v>450000</v>
      </c>
      <c r="AB86" s="28">
        <f t="shared" si="26"/>
        <v>0</v>
      </c>
    </row>
    <row r="87" spans="1:28" s="22" customFormat="1" x14ac:dyDescent="0.25">
      <c r="A87" s="33" t="s">
        <v>90</v>
      </c>
      <c r="B87" s="28">
        <f t="shared" si="18"/>
        <v>15895</v>
      </c>
      <c r="C87" s="28">
        <f t="shared" si="18"/>
        <v>15895</v>
      </c>
      <c r="D87" s="28">
        <f t="shared" si="18"/>
        <v>0</v>
      </c>
      <c r="E87" s="28"/>
      <c r="F87" s="28"/>
      <c r="G87" s="28">
        <f t="shared" si="19"/>
        <v>0</v>
      </c>
      <c r="H87" s="28"/>
      <c r="I87" s="28"/>
      <c r="J87" s="28">
        <f t="shared" si="20"/>
        <v>0</v>
      </c>
      <c r="K87" s="28">
        <f>14480+1415</f>
        <v>15895</v>
      </c>
      <c r="L87" s="28">
        <f>14480+1415</f>
        <v>15895</v>
      </c>
      <c r="M87" s="28">
        <f t="shared" si="21"/>
        <v>0</v>
      </c>
      <c r="N87" s="28"/>
      <c r="O87" s="28"/>
      <c r="P87" s="28">
        <f t="shared" si="22"/>
        <v>0</v>
      </c>
      <c r="Q87" s="28"/>
      <c r="R87" s="28"/>
      <c r="S87" s="28">
        <f t="shared" si="23"/>
        <v>0</v>
      </c>
      <c r="T87" s="28"/>
      <c r="U87" s="28"/>
      <c r="V87" s="28">
        <f t="shared" si="24"/>
        <v>0</v>
      </c>
      <c r="W87" s="28"/>
      <c r="X87" s="28"/>
      <c r="Y87" s="28">
        <f t="shared" si="25"/>
        <v>0</v>
      </c>
      <c r="Z87" s="28"/>
      <c r="AA87" s="28"/>
      <c r="AB87" s="28">
        <f t="shared" si="26"/>
        <v>0</v>
      </c>
    </row>
    <row r="88" spans="1:28" s="22" customFormat="1" x14ac:dyDescent="0.25">
      <c r="A88" s="27" t="s">
        <v>91</v>
      </c>
      <c r="B88" s="28">
        <f t="shared" si="18"/>
        <v>50904</v>
      </c>
      <c r="C88" s="28">
        <f t="shared" si="18"/>
        <v>50904</v>
      </c>
      <c r="D88" s="28">
        <f t="shared" si="18"/>
        <v>0</v>
      </c>
      <c r="E88" s="28"/>
      <c r="F88" s="28"/>
      <c r="G88" s="28">
        <f t="shared" si="19"/>
        <v>0</v>
      </c>
      <c r="H88" s="28"/>
      <c r="I88" s="28"/>
      <c r="J88" s="28">
        <f t="shared" si="20"/>
        <v>0</v>
      </c>
      <c r="K88" s="28"/>
      <c r="L88" s="28"/>
      <c r="M88" s="28">
        <f t="shared" si="21"/>
        <v>0</v>
      </c>
      <c r="N88" s="28"/>
      <c r="O88" s="28"/>
      <c r="P88" s="28">
        <f t="shared" si="22"/>
        <v>0</v>
      </c>
      <c r="Q88" s="28"/>
      <c r="R88" s="28"/>
      <c r="S88" s="28">
        <f t="shared" si="23"/>
        <v>0</v>
      </c>
      <c r="T88" s="28"/>
      <c r="U88" s="28"/>
      <c r="V88" s="28">
        <f t="shared" si="24"/>
        <v>0</v>
      </c>
      <c r="W88" s="28">
        <v>10904</v>
      </c>
      <c r="X88" s="28">
        <v>10904</v>
      </c>
      <c r="Y88" s="28">
        <f t="shared" si="25"/>
        <v>0</v>
      </c>
      <c r="Z88" s="28">
        <v>40000</v>
      </c>
      <c r="AA88" s="28">
        <v>40000</v>
      </c>
      <c r="AB88" s="28">
        <f t="shared" si="26"/>
        <v>0</v>
      </c>
    </row>
    <row r="89" spans="1:28" s="22" customFormat="1" x14ac:dyDescent="0.25">
      <c r="A89" s="27" t="s">
        <v>92</v>
      </c>
      <c r="B89" s="28">
        <f t="shared" si="18"/>
        <v>20396</v>
      </c>
      <c r="C89" s="28">
        <f t="shared" si="18"/>
        <v>20396</v>
      </c>
      <c r="D89" s="28">
        <f t="shared" si="18"/>
        <v>0</v>
      </c>
      <c r="E89" s="28"/>
      <c r="F89" s="28"/>
      <c r="G89" s="28">
        <f t="shared" si="19"/>
        <v>0</v>
      </c>
      <c r="H89" s="28"/>
      <c r="I89" s="28"/>
      <c r="J89" s="28">
        <f t="shared" si="20"/>
        <v>0</v>
      </c>
      <c r="K89" s="28"/>
      <c r="L89" s="28"/>
      <c r="M89" s="28">
        <f t="shared" si="21"/>
        <v>0</v>
      </c>
      <c r="N89" s="28"/>
      <c r="O89" s="28"/>
      <c r="P89" s="28">
        <f t="shared" si="22"/>
        <v>0</v>
      </c>
      <c r="Q89" s="28"/>
      <c r="R89" s="28"/>
      <c r="S89" s="28">
        <f t="shared" si="23"/>
        <v>0</v>
      </c>
      <c r="T89" s="28"/>
      <c r="U89" s="28"/>
      <c r="V89" s="28">
        <f t="shared" si="24"/>
        <v>0</v>
      </c>
      <c r="W89" s="28">
        <v>20396</v>
      </c>
      <c r="X89" s="28">
        <v>20396</v>
      </c>
      <c r="Y89" s="28">
        <f t="shared" si="25"/>
        <v>0</v>
      </c>
      <c r="Z89" s="28"/>
      <c r="AA89" s="28"/>
      <c r="AB89" s="28">
        <f t="shared" si="26"/>
        <v>0</v>
      </c>
    </row>
    <row r="90" spans="1:28" s="22" customFormat="1" x14ac:dyDescent="0.25">
      <c r="A90" s="27" t="s">
        <v>93</v>
      </c>
      <c r="B90" s="28">
        <f t="shared" si="18"/>
        <v>20000</v>
      </c>
      <c r="C90" s="28">
        <f t="shared" si="18"/>
        <v>20000</v>
      </c>
      <c r="D90" s="28">
        <f t="shared" si="18"/>
        <v>0</v>
      </c>
      <c r="E90" s="28"/>
      <c r="F90" s="28"/>
      <c r="G90" s="28">
        <f t="shared" si="19"/>
        <v>0</v>
      </c>
      <c r="H90" s="28"/>
      <c r="I90" s="28"/>
      <c r="J90" s="28">
        <f t="shared" si="20"/>
        <v>0</v>
      </c>
      <c r="K90" s="28"/>
      <c r="L90" s="28"/>
      <c r="M90" s="28">
        <f t="shared" si="21"/>
        <v>0</v>
      </c>
      <c r="N90" s="28"/>
      <c r="O90" s="28"/>
      <c r="P90" s="28">
        <f t="shared" si="22"/>
        <v>0</v>
      </c>
      <c r="Q90" s="28"/>
      <c r="R90" s="28"/>
      <c r="S90" s="28">
        <f t="shared" si="23"/>
        <v>0</v>
      </c>
      <c r="T90" s="28"/>
      <c r="U90" s="28"/>
      <c r="V90" s="28">
        <f t="shared" si="24"/>
        <v>0</v>
      </c>
      <c r="W90" s="28"/>
      <c r="X90" s="28"/>
      <c r="Y90" s="28">
        <f t="shared" si="25"/>
        <v>0</v>
      </c>
      <c r="Z90" s="28">
        <v>20000</v>
      </c>
      <c r="AA90" s="28">
        <v>20000</v>
      </c>
      <c r="AB90" s="28">
        <f t="shared" si="26"/>
        <v>0</v>
      </c>
    </row>
    <row r="91" spans="1:28" s="22" customFormat="1" x14ac:dyDescent="0.25">
      <c r="A91" s="27" t="s">
        <v>94</v>
      </c>
      <c r="B91" s="28">
        <f t="shared" si="18"/>
        <v>36680</v>
      </c>
      <c r="C91" s="28">
        <f t="shared" si="18"/>
        <v>36680</v>
      </c>
      <c r="D91" s="28">
        <f t="shared" si="18"/>
        <v>0</v>
      </c>
      <c r="E91" s="28">
        <v>23000</v>
      </c>
      <c r="F91" s="28">
        <f>23000-4768</f>
        <v>18232</v>
      </c>
      <c r="G91" s="28">
        <f t="shared" si="19"/>
        <v>-4768</v>
      </c>
      <c r="H91" s="28">
        <f>27000-13320</f>
        <v>13680</v>
      </c>
      <c r="I91" s="28">
        <f>27000-13320-13680</f>
        <v>0</v>
      </c>
      <c r="J91" s="28">
        <f t="shared" si="20"/>
        <v>-13680</v>
      </c>
      <c r="K91" s="28"/>
      <c r="L91" s="28"/>
      <c r="M91" s="28">
        <f t="shared" si="21"/>
        <v>0</v>
      </c>
      <c r="N91" s="28"/>
      <c r="O91" s="28"/>
      <c r="P91" s="28">
        <f t="shared" si="22"/>
        <v>0</v>
      </c>
      <c r="Q91" s="28"/>
      <c r="R91" s="28"/>
      <c r="S91" s="28">
        <f t="shared" si="23"/>
        <v>0</v>
      </c>
      <c r="T91" s="28"/>
      <c r="U91" s="28"/>
      <c r="V91" s="28">
        <f t="shared" si="24"/>
        <v>0</v>
      </c>
      <c r="W91" s="28"/>
      <c r="X91" s="28"/>
      <c r="Y91" s="28">
        <f t="shared" si="25"/>
        <v>0</v>
      </c>
      <c r="Z91" s="28">
        <v>0</v>
      </c>
      <c r="AA91" s="28">
        <f>18448</f>
        <v>18448</v>
      </c>
      <c r="AB91" s="28">
        <f t="shared" si="26"/>
        <v>18448</v>
      </c>
    </row>
    <row r="92" spans="1:28" s="21" customFormat="1" ht="47.25" x14ac:dyDescent="0.25">
      <c r="A92" s="34" t="s">
        <v>95</v>
      </c>
      <c r="B92" s="20">
        <f t="shared" si="18"/>
        <v>367197</v>
      </c>
      <c r="C92" s="20">
        <f t="shared" si="18"/>
        <v>369196</v>
      </c>
      <c r="D92" s="20">
        <f t="shared" si="18"/>
        <v>1999</v>
      </c>
      <c r="E92" s="20">
        <f>SUM(E93:E128)</f>
        <v>0</v>
      </c>
      <c r="F92" s="20">
        <f>SUM(F93:F128)</f>
        <v>23557</v>
      </c>
      <c r="G92" s="20">
        <f t="shared" si="19"/>
        <v>23557</v>
      </c>
      <c r="H92" s="20">
        <f>SUM(H93:H128)</f>
        <v>3600</v>
      </c>
      <c r="I92" s="20">
        <f>SUM(I93:I128)</f>
        <v>343639</v>
      </c>
      <c r="J92" s="20">
        <f t="shared" si="20"/>
        <v>340039</v>
      </c>
      <c r="K92" s="20">
        <f>SUM(K93:K128)</f>
        <v>363597</v>
      </c>
      <c r="L92" s="20">
        <f>SUM(L93:L128)</f>
        <v>2000</v>
      </c>
      <c r="M92" s="20">
        <f t="shared" si="21"/>
        <v>-361597</v>
      </c>
      <c r="N92" s="20">
        <f>SUM(N93:N128)</f>
        <v>0</v>
      </c>
      <c r="O92" s="20">
        <f>SUM(O93:O128)</f>
        <v>0</v>
      </c>
      <c r="P92" s="20">
        <f t="shared" si="22"/>
        <v>0</v>
      </c>
      <c r="Q92" s="20">
        <f>SUM(Q93:Q128)</f>
        <v>0</v>
      </c>
      <c r="R92" s="20">
        <f>SUM(R93:R128)</f>
        <v>0</v>
      </c>
      <c r="S92" s="20">
        <f t="shared" si="23"/>
        <v>0</v>
      </c>
      <c r="T92" s="20">
        <f>SUM(T93:T128)</f>
        <v>0</v>
      </c>
      <c r="U92" s="20">
        <f>SUM(U93:U128)</f>
        <v>0</v>
      </c>
      <c r="V92" s="20">
        <f t="shared" si="24"/>
        <v>0</v>
      </c>
      <c r="W92" s="20">
        <f>SUM(W93:W128)</f>
        <v>0</v>
      </c>
      <c r="X92" s="20">
        <f>SUM(X93:X128)</f>
        <v>0</v>
      </c>
      <c r="Y92" s="20">
        <f t="shared" si="25"/>
        <v>0</v>
      </c>
      <c r="Z92" s="20">
        <f>SUM(Z93:Z128)</f>
        <v>0</v>
      </c>
      <c r="AA92" s="20">
        <f>SUM(AA93:AA128)</f>
        <v>0</v>
      </c>
      <c r="AB92" s="20">
        <f t="shared" si="26"/>
        <v>0</v>
      </c>
    </row>
    <row r="93" spans="1:28" s="22" customFormat="1" x14ac:dyDescent="0.25">
      <c r="A93" s="37" t="s">
        <v>96</v>
      </c>
      <c r="B93" s="28">
        <f t="shared" si="18"/>
        <v>11000</v>
      </c>
      <c r="C93" s="28">
        <f t="shared" si="18"/>
        <v>11000</v>
      </c>
      <c r="D93" s="28">
        <f t="shared" si="18"/>
        <v>0</v>
      </c>
      <c r="E93" s="28"/>
      <c r="F93" s="28"/>
      <c r="G93" s="28">
        <f t="shared" si="19"/>
        <v>0</v>
      </c>
      <c r="H93" s="28"/>
      <c r="I93" s="28">
        <v>11000</v>
      </c>
      <c r="J93" s="28">
        <f t="shared" si="20"/>
        <v>11000</v>
      </c>
      <c r="K93" s="28">
        <v>11000</v>
      </c>
      <c r="L93" s="28"/>
      <c r="M93" s="28">
        <f t="shared" si="21"/>
        <v>-11000</v>
      </c>
      <c r="N93" s="28"/>
      <c r="O93" s="28"/>
      <c r="P93" s="28">
        <f t="shared" si="22"/>
        <v>0</v>
      </c>
      <c r="Q93" s="28"/>
      <c r="R93" s="28"/>
      <c r="S93" s="28">
        <f t="shared" si="23"/>
        <v>0</v>
      </c>
      <c r="T93" s="28"/>
      <c r="U93" s="28"/>
      <c r="V93" s="28">
        <f t="shared" si="24"/>
        <v>0</v>
      </c>
      <c r="W93" s="28"/>
      <c r="X93" s="28"/>
      <c r="Y93" s="28">
        <f t="shared" si="25"/>
        <v>0</v>
      </c>
      <c r="Z93" s="28"/>
      <c r="AA93" s="28"/>
      <c r="AB93" s="28">
        <f t="shared" si="26"/>
        <v>0</v>
      </c>
    </row>
    <row r="94" spans="1:28" s="22" customFormat="1" x14ac:dyDescent="0.25">
      <c r="A94" s="37" t="s">
        <v>97</v>
      </c>
      <c r="B94" s="28">
        <f t="shared" si="18"/>
        <v>11000</v>
      </c>
      <c r="C94" s="28">
        <f t="shared" si="18"/>
        <v>11000</v>
      </c>
      <c r="D94" s="28">
        <f t="shared" si="18"/>
        <v>0</v>
      </c>
      <c r="E94" s="28"/>
      <c r="F94" s="28"/>
      <c r="G94" s="28">
        <f t="shared" si="19"/>
        <v>0</v>
      </c>
      <c r="H94" s="28"/>
      <c r="I94" s="28">
        <v>11000</v>
      </c>
      <c r="J94" s="28">
        <f t="shared" si="20"/>
        <v>11000</v>
      </c>
      <c r="K94" s="28">
        <v>11000</v>
      </c>
      <c r="L94" s="28"/>
      <c r="M94" s="28">
        <f t="shared" si="21"/>
        <v>-11000</v>
      </c>
      <c r="N94" s="28"/>
      <c r="O94" s="28"/>
      <c r="P94" s="28">
        <f t="shared" si="22"/>
        <v>0</v>
      </c>
      <c r="Q94" s="28"/>
      <c r="R94" s="28"/>
      <c r="S94" s="28">
        <f t="shared" si="23"/>
        <v>0</v>
      </c>
      <c r="T94" s="28"/>
      <c r="U94" s="28"/>
      <c r="V94" s="28">
        <f t="shared" si="24"/>
        <v>0</v>
      </c>
      <c r="W94" s="28"/>
      <c r="X94" s="28"/>
      <c r="Y94" s="28">
        <f t="shared" si="25"/>
        <v>0</v>
      </c>
      <c r="Z94" s="28"/>
      <c r="AA94" s="28"/>
      <c r="AB94" s="28">
        <f t="shared" si="26"/>
        <v>0</v>
      </c>
    </row>
    <row r="95" spans="1:28" s="22" customFormat="1" x14ac:dyDescent="0.25">
      <c r="A95" s="37" t="s">
        <v>98</v>
      </c>
      <c r="B95" s="28">
        <f t="shared" si="18"/>
        <v>15780</v>
      </c>
      <c r="C95" s="28">
        <f t="shared" si="18"/>
        <v>15780</v>
      </c>
      <c r="D95" s="28">
        <f t="shared" si="18"/>
        <v>0</v>
      </c>
      <c r="E95" s="28"/>
      <c r="F95" s="28"/>
      <c r="G95" s="28">
        <f t="shared" si="19"/>
        <v>0</v>
      </c>
      <c r="H95" s="28"/>
      <c r="I95" s="28">
        <f>4780+11000</f>
        <v>15780</v>
      </c>
      <c r="J95" s="28">
        <f t="shared" si="20"/>
        <v>15780</v>
      </c>
      <c r="K95" s="28">
        <f>4780+11000</f>
        <v>15780</v>
      </c>
      <c r="L95" s="28"/>
      <c r="M95" s="28">
        <f t="shared" si="21"/>
        <v>-15780</v>
      </c>
      <c r="N95" s="28"/>
      <c r="O95" s="28"/>
      <c r="P95" s="28">
        <f t="shared" si="22"/>
        <v>0</v>
      </c>
      <c r="Q95" s="28"/>
      <c r="R95" s="28"/>
      <c r="S95" s="28">
        <f t="shared" si="23"/>
        <v>0</v>
      </c>
      <c r="T95" s="28"/>
      <c r="U95" s="28"/>
      <c r="V95" s="28">
        <f t="shared" si="24"/>
        <v>0</v>
      </c>
      <c r="W95" s="28"/>
      <c r="X95" s="28"/>
      <c r="Y95" s="28">
        <f t="shared" si="25"/>
        <v>0</v>
      </c>
      <c r="Z95" s="28"/>
      <c r="AA95" s="28"/>
      <c r="AB95" s="28">
        <f t="shared" si="26"/>
        <v>0</v>
      </c>
    </row>
    <row r="96" spans="1:28" s="22" customFormat="1" x14ac:dyDescent="0.25">
      <c r="A96" s="37" t="s">
        <v>99</v>
      </c>
      <c r="B96" s="28">
        <f t="shared" si="18"/>
        <v>8000</v>
      </c>
      <c r="C96" s="28">
        <f t="shared" si="18"/>
        <v>8000</v>
      </c>
      <c r="D96" s="28">
        <f t="shared" si="18"/>
        <v>0</v>
      </c>
      <c r="E96" s="28"/>
      <c r="F96" s="28"/>
      <c r="G96" s="28">
        <f t="shared" si="19"/>
        <v>0</v>
      </c>
      <c r="H96" s="28"/>
      <c r="I96" s="28">
        <f>4000+4000</f>
        <v>8000</v>
      </c>
      <c r="J96" s="28">
        <f t="shared" si="20"/>
        <v>8000</v>
      </c>
      <c r="K96" s="28">
        <f>4000+4000</f>
        <v>8000</v>
      </c>
      <c r="L96" s="28"/>
      <c r="M96" s="28">
        <f t="shared" si="21"/>
        <v>-8000</v>
      </c>
      <c r="N96" s="28"/>
      <c r="O96" s="28"/>
      <c r="P96" s="28">
        <f t="shared" si="22"/>
        <v>0</v>
      </c>
      <c r="Q96" s="28"/>
      <c r="R96" s="28"/>
      <c r="S96" s="28">
        <f t="shared" si="23"/>
        <v>0</v>
      </c>
      <c r="T96" s="28"/>
      <c r="U96" s="28"/>
      <c r="V96" s="28">
        <f t="shared" si="24"/>
        <v>0</v>
      </c>
      <c r="W96" s="28"/>
      <c r="X96" s="28"/>
      <c r="Y96" s="28">
        <f t="shared" si="25"/>
        <v>0</v>
      </c>
      <c r="Z96" s="28"/>
      <c r="AA96" s="28"/>
      <c r="AB96" s="28">
        <f t="shared" si="26"/>
        <v>0</v>
      </c>
    </row>
    <row r="97" spans="1:28" s="22" customFormat="1" x14ac:dyDescent="0.25">
      <c r="A97" s="37" t="s">
        <v>100</v>
      </c>
      <c r="B97" s="28">
        <f t="shared" si="18"/>
        <v>5000</v>
      </c>
      <c r="C97" s="28">
        <f t="shared" si="18"/>
        <v>5000</v>
      </c>
      <c r="D97" s="28">
        <f t="shared" si="18"/>
        <v>0</v>
      </c>
      <c r="E97" s="28"/>
      <c r="F97" s="28"/>
      <c r="G97" s="28">
        <f t="shared" si="19"/>
        <v>0</v>
      </c>
      <c r="H97" s="28"/>
      <c r="I97" s="28">
        <v>5000</v>
      </c>
      <c r="J97" s="28">
        <f t="shared" si="20"/>
        <v>5000</v>
      </c>
      <c r="K97" s="28">
        <v>5000</v>
      </c>
      <c r="L97" s="28"/>
      <c r="M97" s="28">
        <f t="shared" si="21"/>
        <v>-5000</v>
      </c>
      <c r="N97" s="28"/>
      <c r="O97" s="28"/>
      <c r="P97" s="28">
        <f t="shared" si="22"/>
        <v>0</v>
      </c>
      <c r="Q97" s="28"/>
      <c r="R97" s="28"/>
      <c r="S97" s="28">
        <f t="shared" si="23"/>
        <v>0</v>
      </c>
      <c r="T97" s="28"/>
      <c r="U97" s="28"/>
      <c r="V97" s="28">
        <f t="shared" si="24"/>
        <v>0</v>
      </c>
      <c r="W97" s="28"/>
      <c r="X97" s="28"/>
      <c r="Y97" s="28">
        <f t="shared" si="25"/>
        <v>0</v>
      </c>
      <c r="Z97" s="28"/>
      <c r="AA97" s="28"/>
      <c r="AB97" s="28">
        <f t="shared" si="26"/>
        <v>0</v>
      </c>
    </row>
    <row r="98" spans="1:28" s="22" customFormat="1" x14ac:dyDescent="0.25">
      <c r="A98" s="37" t="s">
        <v>101</v>
      </c>
      <c r="B98" s="28">
        <f t="shared" si="18"/>
        <v>4000</v>
      </c>
      <c r="C98" s="28">
        <f t="shared" si="18"/>
        <v>4000</v>
      </c>
      <c r="D98" s="28">
        <f t="shared" si="18"/>
        <v>0</v>
      </c>
      <c r="E98" s="28"/>
      <c r="F98" s="28"/>
      <c r="G98" s="28">
        <f t="shared" si="19"/>
        <v>0</v>
      </c>
      <c r="H98" s="28"/>
      <c r="I98" s="28">
        <v>4000</v>
      </c>
      <c r="J98" s="28">
        <f t="shared" si="20"/>
        <v>4000</v>
      </c>
      <c r="K98" s="28">
        <v>4000</v>
      </c>
      <c r="L98" s="28"/>
      <c r="M98" s="28">
        <f t="shared" si="21"/>
        <v>-4000</v>
      </c>
      <c r="N98" s="28"/>
      <c r="O98" s="28"/>
      <c r="P98" s="28">
        <f t="shared" si="22"/>
        <v>0</v>
      </c>
      <c r="Q98" s="28"/>
      <c r="R98" s="28"/>
      <c r="S98" s="28">
        <f t="shared" si="23"/>
        <v>0</v>
      </c>
      <c r="T98" s="28"/>
      <c r="U98" s="28"/>
      <c r="V98" s="28">
        <f t="shared" si="24"/>
        <v>0</v>
      </c>
      <c r="W98" s="28"/>
      <c r="X98" s="28"/>
      <c r="Y98" s="28">
        <f t="shared" si="25"/>
        <v>0</v>
      </c>
      <c r="Z98" s="28"/>
      <c r="AA98" s="28"/>
      <c r="AB98" s="28">
        <f t="shared" si="26"/>
        <v>0</v>
      </c>
    </row>
    <row r="99" spans="1:28" s="22" customFormat="1" x14ac:dyDescent="0.25">
      <c r="A99" s="37" t="s">
        <v>102</v>
      </c>
      <c r="B99" s="28">
        <f t="shared" si="18"/>
        <v>7000</v>
      </c>
      <c r="C99" s="28">
        <f t="shared" si="18"/>
        <v>7000</v>
      </c>
      <c r="D99" s="28">
        <f t="shared" si="18"/>
        <v>0</v>
      </c>
      <c r="E99" s="28"/>
      <c r="F99" s="28"/>
      <c r="G99" s="28">
        <f t="shared" si="19"/>
        <v>0</v>
      </c>
      <c r="H99" s="28"/>
      <c r="I99" s="28">
        <v>7000</v>
      </c>
      <c r="J99" s="28">
        <f t="shared" si="20"/>
        <v>7000</v>
      </c>
      <c r="K99" s="28">
        <v>7000</v>
      </c>
      <c r="L99" s="28"/>
      <c r="M99" s="28">
        <f t="shared" si="21"/>
        <v>-7000</v>
      </c>
      <c r="N99" s="28"/>
      <c r="O99" s="28"/>
      <c r="P99" s="28">
        <f t="shared" si="22"/>
        <v>0</v>
      </c>
      <c r="Q99" s="28"/>
      <c r="R99" s="28"/>
      <c r="S99" s="28">
        <f t="shared" si="23"/>
        <v>0</v>
      </c>
      <c r="T99" s="28"/>
      <c r="U99" s="28"/>
      <c r="V99" s="28">
        <f t="shared" si="24"/>
        <v>0</v>
      </c>
      <c r="W99" s="28"/>
      <c r="X99" s="28"/>
      <c r="Y99" s="28">
        <f t="shared" si="25"/>
        <v>0</v>
      </c>
      <c r="Z99" s="28"/>
      <c r="AA99" s="28"/>
      <c r="AB99" s="28">
        <f t="shared" si="26"/>
        <v>0</v>
      </c>
    </row>
    <row r="100" spans="1:28" s="22" customFormat="1" x14ac:dyDescent="0.25">
      <c r="A100" s="37" t="s">
        <v>103</v>
      </c>
      <c r="B100" s="28">
        <f t="shared" si="18"/>
        <v>7500</v>
      </c>
      <c r="C100" s="28">
        <f t="shared" si="18"/>
        <v>7500</v>
      </c>
      <c r="D100" s="28">
        <f t="shared" si="18"/>
        <v>0</v>
      </c>
      <c r="E100" s="28"/>
      <c r="F100" s="28"/>
      <c r="G100" s="28">
        <f t="shared" si="19"/>
        <v>0</v>
      </c>
      <c r="H100" s="28"/>
      <c r="I100" s="28">
        <v>7500</v>
      </c>
      <c r="J100" s="28">
        <f t="shared" si="20"/>
        <v>7500</v>
      </c>
      <c r="K100" s="28">
        <v>7500</v>
      </c>
      <c r="L100" s="28"/>
      <c r="M100" s="28">
        <f t="shared" si="21"/>
        <v>-7500</v>
      </c>
      <c r="N100" s="28"/>
      <c r="O100" s="28"/>
      <c r="P100" s="28">
        <f t="shared" si="22"/>
        <v>0</v>
      </c>
      <c r="Q100" s="28"/>
      <c r="R100" s="28"/>
      <c r="S100" s="28">
        <f t="shared" si="23"/>
        <v>0</v>
      </c>
      <c r="T100" s="28"/>
      <c r="U100" s="28"/>
      <c r="V100" s="28">
        <f t="shared" si="24"/>
        <v>0</v>
      </c>
      <c r="W100" s="28"/>
      <c r="X100" s="28"/>
      <c r="Y100" s="28">
        <f t="shared" si="25"/>
        <v>0</v>
      </c>
      <c r="Z100" s="28"/>
      <c r="AA100" s="28"/>
      <c r="AB100" s="28">
        <f t="shared" si="26"/>
        <v>0</v>
      </c>
    </row>
    <row r="101" spans="1:28" s="22" customFormat="1" x14ac:dyDescent="0.25">
      <c r="A101" s="37" t="s">
        <v>104</v>
      </c>
      <c r="B101" s="28">
        <f t="shared" si="18"/>
        <v>4000</v>
      </c>
      <c r="C101" s="28">
        <f t="shared" si="18"/>
        <v>4000</v>
      </c>
      <c r="D101" s="28">
        <f t="shared" si="18"/>
        <v>0</v>
      </c>
      <c r="E101" s="28"/>
      <c r="F101" s="28"/>
      <c r="G101" s="28">
        <f t="shared" si="19"/>
        <v>0</v>
      </c>
      <c r="H101" s="28"/>
      <c r="I101" s="28">
        <v>4000</v>
      </c>
      <c r="J101" s="28">
        <f t="shared" si="20"/>
        <v>4000</v>
      </c>
      <c r="K101" s="28">
        <v>4000</v>
      </c>
      <c r="L101" s="28"/>
      <c r="M101" s="28">
        <f t="shared" si="21"/>
        <v>-4000</v>
      </c>
      <c r="N101" s="28"/>
      <c r="O101" s="28"/>
      <c r="P101" s="28">
        <f t="shared" si="22"/>
        <v>0</v>
      </c>
      <c r="Q101" s="28"/>
      <c r="R101" s="28"/>
      <c r="S101" s="28">
        <f t="shared" si="23"/>
        <v>0</v>
      </c>
      <c r="T101" s="28"/>
      <c r="U101" s="28"/>
      <c r="V101" s="28">
        <f t="shared" si="24"/>
        <v>0</v>
      </c>
      <c r="W101" s="28"/>
      <c r="X101" s="28"/>
      <c r="Y101" s="28">
        <f t="shared" si="25"/>
        <v>0</v>
      </c>
      <c r="Z101" s="28"/>
      <c r="AA101" s="28"/>
      <c r="AB101" s="28">
        <f t="shared" si="26"/>
        <v>0</v>
      </c>
    </row>
    <row r="102" spans="1:28" s="22" customFormat="1" x14ac:dyDescent="0.25">
      <c r="A102" s="37" t="s">
        <v>105</v>
      </c>
      <c r="B102" s="28">
        <f t="shared" si="18"/>
        <v>9020</v>
      </c>
      <c r="C102" s="28">
        <f t="shared" si="18"/>
        <v>9020</v>
      </c>
      <c r="D102" s="28">
        <f t="shared" si="18"/>
        <v>0</v>
      </c>
      <c r="E102" s="28"/>
      <c r="F102" s="28"/>
      <c r="G102" s="28">
        <f t="shared" si="19"/>
        <v>0</v>
      </c>
      <c r="H102" s="28"/>
      <c r="I102" s="28">
        <f>8000+1020</f>
        <v>9020</v>
      </c>
      <c r="J102" s="28">
        <f t="shared" si="20"/>
        <v>9020</v>
      </c>
      <c r="K102" s="28">
        <f>8000+1020</f>
        <v>9020</v>
      </c>
      <c r="L102" s="28"/>
      <c r="M102" s="28">
        <f t="shared" si="21"/>
        <v>-9020</v>
      </c>
      <c r="N102" s="28"/>
      <c r="O102" s="28"/>
      <c r="P102" s="28">
        <f t="shared" si="22"/>
        <v>0</v>
      </c>
      <c r="Q102" s="28"/>
      <c r="R102" s="28"/>
      <c r="S102" s="28">
        <f t="shared" si="23"/>
        <v>0</v>
      </c>
      <c r="T102" s="28"/>
      <c r="U102" s="28"/>
      <c r="V102" s="28">
        <f t="shared" si="24"/>
        <v>0</v>
      </c>
      <c r="W102" s="28"/>
      <c r="X102" s="28"/>
      <c r="Y102" s="28">
        <f t="shared" si="25"/>
        <v>0</v>
      </c>
      <c r="Z102" s="28"/>
      <c r="AA102" s="28"/>
      <c r="AB102" s="28">
        <f t="shared" si="26"/>
        <v>0</v>
      </c>
    </row>
    <row r="103" spans="1:28" s="22" customFormat="1" ht="31.5" x14ac:dyDescent="0.25">
      <c r="A103" s="37" t="s">
        <v>106</v>
      </c>
      <c r="B103" s="28">
        <f t="shared" si="18"/>
        <v>27050</v>
      </c>
      <c r="C103" s="28">
        <f t="shared" si="18"/>
        <v>27050</v>
      </c>
      <c r="D103" s="28">
        <f t="shared" si="18"/>
        <v>0</v>
      </c>
      <c r="E103" s="28"/>
      <c r="F103" s="28"/>
      <c r="G103" s="28">
        <f t="shared" si="19"/>
        <v>0</v>
      </c>
      <c r="H103" s="28"/>
      <c r="I103" s="28">
        <f>12000+11000+4050</f>
        <v>27050</v>
      </c>
      <c r="J103" s="28">
        <f t="shared" si="20"/>
        <v>27050</v>
      </c>
      <c r="K103" s="28">
        <f>12000+11000+4050</f>
        <v>27050</v>
      </c>
      <c r="L103" s="28"/>
      <c r="M103" s="28">
        <f t="shared" si="21"/>
        <v>-27050</v>
      </c>
      <c r="N103" s="28"/>
      <c r="O103" s="28"/>
      <c r="P103" s="28">
        <f t="shared" si="22"/>
        <v>0</v>
      </c>
      <c r="Q103" s="28"/>
      <c r="R103" s="28"/>
      <c r="S103" s="28">
        <f t="shared" si="23"/>
        <v>0</v>
      </c>
      <c r="T103" s="28"/>
      <c r="U103" s="28"/>
      <c r="V103" s="28">
        <f t="shared" si="24"/>
        <v>0</v>
      </c>
      <c r="W103" s="28"/>
      <c r="X103" s="28"/>
      <c r="Y103" s="28">
        <f t="shared" si="25"/>
        <v>0</v>
      </c>
      <c r="Z103" s="28"/>
      <c r="AA103" s="28"/>
      <c r="AB103" s="28">
        <f t="shared" si="26"/>
        <v>0</v>
      </c>
    </row>
    <row r="104" spans="1:28" s="22" customFormat="1" ht="31.5" x14ac:dyDescent="0.25">
      <c r="A104" s="37" t="s">
        <v>107</v>
      </c>
      <c r="B104" s="28">
        <f t="shared" si="18"/>
        <v>9188</v>
      </c>
      <c r="C104" s="28">
        <f t="shared" si="18"/>
        <v>9188</v>
      </c>
      <c r="D104" s="28">
        <f t="shared" si="18"/>
        <v>0</v>
      </c>
      <c r="E104" s="28"/>
      <c r="F104" s="28"/>
      <c r="G104" s="28">
        <f t="shared" si="19"/>
        <v>0</v>
      </c>
      <c r="H104" s="28"/>
      <c r="I104" s="28">
        <f>8500+688</f>
        <v>9188</v>
      </c>
      <c r="J104" s="28">
        <f t="shared" si="20"/>
        <v>9188</v>
      </c>
      <c r="K104" s="28">
        <f>8500+688</f>
        <v>9188</v>
      </c>
      <c r="L104" s="28"/>
      <c r="M104" s="28">
        <f t="shared" si="21"/>
        <v>-9188</v>
      </c>
      <c r="N104" s="28"/>
      <c r="O104" s="28"/>
      <c r="P104" s="28">
        <f t="shared" si="22"/>
        <v>0</v>
      </c>
      <c r="Q104" s="28"/>
      <c r="R104" s="28"/>
      <c r="S104" s="28">
        <f t="shared" si="23"/>
        <v>0</v>
      </c>
      <c r="T104" s="28"/>
      <c r="U104" s="28"/>
      <c r="V104" s="28">
        <f t="shared" si="24"/>
        <v>0</v>
      </c>
      <c r="W104" s="28"/>
      <c r="X104" s="28"/>
      <c r="Y104" s="28">
        <f t="shared" si="25"/>
        <v>0</v>
      </c>
      <c r="Z104" s="28"/>
      <c r="AA104" s="28"/>
      <c r="AB104" s="28">
        <f t="shared" si="26"/>
        <v>0</v>
      </c>
    </row>
    <row r="105" spans="1:28" s="22" customFormat="1" x14ac:dyDescent="0.25">
      <c r="A105" s="37" t="s">
        <v>108</v>
      </c>
      <c r="B105" s="28">
        <f t="shared" si="18"/>
        <v>8500</v>
      </c>
      <c r="C105" s="28">
        <f t="shared" si="18"/>
        <v>8500</v>
      </c>
      <c r="D105" s="28">
        <f t="shared" si="18"/>
        <v>0</v>
      </c>
      <c r="E105" s="28"/>
      <c r="F105" s="28"/>
      <c r="G105" s="28">
        <f t="shared" si="19"/>
        <v>0</v>
      </c>
      <c r="H105" s="28"/>
      <c r="I105" s="28">
        <v>8500</v>
      </c>
      <c r="J105" s="28">
        <f t="shared" si="20"/>
        <v>8500</v>
      </c>
      <c r="K105" s="28">
        <v>8500</v>
      </c>
      <c r="L105" s="28"/>
      <c r="M105" s="28">
        <f t="shared" si="21"/>
        <v>-8500</v>
      </c>
      <c r="N105" s="28"/>
      <c r="O105" s="28"/>
      <c r="P105" s="28">
        <f t="shared" si="22"/>
        <v>0</v>
      </c>
      <c r="Q105" s="28"/>
      <c r="R105" s="28"/>
      <c r="S105" s="28">
        <f t="shared" si="23"/>
        <v>0</v>
      </c>
      <c r="T105" s="28"/>
      <c r="U105" s="28"/>
      <c r="V105" s="28">
        <f t="shared" si="24"/>
        <v>0</v>
      </c>
      <c r="W105" s="28"/>
      <c r="X105" s="28"/>
      <c r="Y105" s="28">
        <f t="shared" si="25"/>
        <v>0</v>
      </c>
      <c r="Z105" s="28"/>
      <c r="AA105" s="28"/>
      <c r="AB105" s="28">
        <f t="shared" si="26"/>
        <v>0</v>
      </c>
    </row>
    <row r="106" spans="1:28" s="22" customFormat="1" x14ac:dyDescent="0.25">
      <c r="A106" s="37" t="s">
        <v>109</v>
      </c>
      <c r="B106" s="28">
        <f t="shared" si="18"/>
        <v>9646</v>
      </c>
      <c r="C106" s="28">
        <f t="shared" si="18"/>
        <v>9646</v>
      </c>
      <c r="D106" s="28">
        <f t="shared" si="18"/>
        <v>0</v>
      </c>
      <c r="E106" s="28"/>
      <c r="F106" s="28"/>
      <c r="G106" s="28">
        <f t="shared" si="19"/>
        <v>0</v>
      </c>
      <c r="H106" s="28"/>
      <c r="I106" s="28">
        <f>5500+4146</f>
        <v>9646</v>
      </c>
      <c r="J106" s="28">
        <f t="shared" si="20"/>
        <v>9646</v>
      </c>
      <c r="K106" s="28">
        <f>5500+4146</f>
        <v>9646</v>
      </c>
      <c r="L106" s="28"/>
      <c r="M106" s="28">
        <f t="shared" si="21"/>
        <v>-9646</v>
      </c>
      <c r="N106" s="28"/>
      <c r="O106" s="28"/>
      <c r="P106" s="28">
        <f t="shared" si="22"/>
        <v>0</v>
      </c>
      <c r="Q106" s="28"/>
      <c r="R106" s="28"/>
      <c r="S106" s="28">
        <f t="shared" si="23"/>
        <v>0</v>
      </c>
      <c r="T106" s="28"/>
      <c r="U106" s="28"/>
      <c r="V106" s="28">
        <f t="shared" si="24"/>
        <v>0</v>
      </c>
      <c r="W106" s="28"/>
      <c r="X106" s="28"/>
      <c r="Y106" s="28">
        <f t="shared" si="25"/>
        <v>0</v>
      </c>
      <c r="Z106" s="28"/>
      <c r="AA106" s="28"/>
      <c r="AB106" s="28">
        <f t="shared" si="26"/>
        <v>0</v>
      </c>
    </row>
    <row r="107" spans="1:28" s="22" customFormat="1" x14ac:dyDescent="0.25">
      <c r="A107" s="37" t="s">
        <v>110</v>
      </c>
      <c r="B107" s="28">
        <f t="shared" si="18"/>
        <v>9000</v>
      </c>
      <c r="C107" s="28">
        <f t="shared" si="18"/>
        <v>9000</v>
      </c>
      <c r="D107" s="28">
        <f t="shared" si="18"/>
        <v>0</v>
      </c>
      <c r="E107" s="28"/>
      <c r="F107" s="28"/>
      <c r="G107" s="28">
        <f t="shared" si="19"/>
        <v>0</v>
      </c>
      <c r="H107" s="28"/>
      <c r="I107" s="28">
        <v>9000</v>
      </c>
      <c r="J107" s="28">
        <f t="shared" si="20"/>
        <v>9000</v>
      </c>
      <c r="K107" s="28">
        <v>9000</v>
      </c>
      <c r="L107" s="28"/>
      <c r="M107" s="28">
        <f t="shared" si="21"/>
        <v>-9000</v>
      </c>
      <c r="N107" s="28"/>
      <c r="O107" s="28"/>
      <c r="P107" s="28">
        <f t="shared" si="22"/>
        <v>0</v>
      </c>
      <c r="Q107" s="28"/>
      <c r="R107" s="28"/>
      <c r="S107" s="28">
        <f t="shared" si="23"/>
        <v>0</v>
      </c>
      <c r="T107" s="28"/>
      <c r="U107" s="28"/>
      <c r="V107" s="28">
        <f t="shared" si="24"/>
        <v>0</v>
      </c>
      <c r="W107" s="28"/>
      <c r="X107" s="28"/>
      <c r="Y107" s="28">
        <f t="shared" si="25"/>
        <v>0</v>
      </c>
      <c r="Z107" s="28"/>
      <c r="AA107" s="28"/>
      <c r="AB107" s="28">
        <f t="shared" si="26"/>
        <v>0</v>
      </c>
    </row>
    <row r="108" spans="1:28" s="22" customFormat="1" x14ac:dyDescent="0.25">
      <c r="A108" s="37" t="s">
        <v>111</v>
      </c>
      <c r="B108" s="28">
        <f t="shared" si="18"/>
        <v>11000</v>
      </c>
      <c r="C108" s="28">
        <f t="shared" si="18"/>
        <v>11000</v>
      </c>
      <c r="D108" s="28">
        <f t="shared" si="18"/>
        <v>0</v>
      </c>
      <c r="E108" s="28"/>
      <c r="F108" s="28"/>
      <c r="G108" s="28">
        <f t="shared" si="19"/>
        <v>0</v>
      </c>
      <c r="H108" s="28"/>
      <c r="I108" s="28">
        <v>11000</v>
      </c>
      <c r="J108" s="28">
        <f t="shared" si="20"/>
        <v>11000</v>
      </c>
      <c r="K108" s="28">
        <v>11000</v>
      </c>
      <c r="L108" s="28"/>
      <c r="M108" s="28">
        <f t="shared" si="21"/>
        <v>-11000</v>
      </c>
      <c r="N108" s="28"/>
      <c r="O108" s="28"/>
      <c r="P108" s="28">
        <f t="shared" si="22"/>
        <v>0</v>
      </c>
      <c r="Q108" s="28"/>
      <c r="R108" s="28"/>
      <c r="S108" s="28">
        <f t="shared" si="23"/>
        <v>0</v>
      </c>
      <c r="T108" s="28"/>
      <c r="U108" s="28"/>
      <c r="V108" s="28">
        <f t="shared" si="24"/>
        <v>0</v>
      </c>
      <c r="W108" s="28"/>
      <c r="X108" s="28"/>
      <c r="Y108" s="28">
        <f t="shared" si="25"/>
        <v>0</v>
      </c>
      <c r="Z108" s="28"/>
      <c r="AA108" s="28"/>
      <c r="AB108" s="28">
        <f t="shared" si="26"/>
        <v>0</v>
      </c>
    </row>
    <row r="109" spans="1:28" s="22" customFormat="1" x14ac:dyDescent="0.25">
      <c r="A109" s="37" t="s">
        <v>112</v>
      </c>
      <c r="B109" s="28">
        <f t="shared" si="18"/>
        <v>10558</v>
      </c>
      <c r="C109" s="28">
        <f t="shared" si="18"/>
        <v>10557</v>
      </c>
      <c r="D109" s="28">
        <f t="shared" si="18"/>
        <v>-1</v>
      </c>
      <c r="E109" s="28">
        <f>0</f>
        <v>0</v>
      </c>
      <c r="F109" s="28">
        <f>10557</f>
        <v>10557</v>
      </c>
      <c r="G109" s="28">
        <f t="shared" si="19"/>
        <v>10557</v>
      </c>
      <c r="H109" s="28"/>
      <c r="I109" s="28">
        <f>2558+8000-10557-1</f>
        <v>0</v>
      </c>
      <c r="J109" s="28">
        <f t="shared" si="20"/>
        <v>0</v>
      </c>
      <c r="K109" s="28">
        <f>2558+8000</f>
        <v>10558</v>
      </c>
      <c r="L109" s="28"/>
      <c r="M109" s="28">
        <f t="shared" si="21"/>
        <v>-10558</v>
      </c>
      <c r="N109" s="28"/>
      <c r="O109" s="28"/>
      <c r="P109" s="28">
        <f t="shared" si="22"/>
        <v>0</v>
      </c>
      <c r="Q109" s="28"/>
      <c r="R109" s="28"/>
      <c r="S109" s="28">
        <f t="shared" si="23"/>
        <v>0</v>
      </c>
      <c r="T109" s="28"/>
      <c r="U109" s="28"/>
      <c r="V109" s="28">
        <f t="shared" si="24"/>
        <v>0</v>
      </c>
      <c r="W109" s="28"/>
      <c r="X109" s="28"/>
      <c r="Y109" s="28">
        <f t="shared" si="25"/>
        <v>0</v>
      </c>
      <c r="Z109" s="28"/>
      <c r="AA109" s="28"/>
      <c r="AB109" s="28">
        <f t="shared" si="26"/>
        <v>0</v>
      </c>
    </row>
    <row r="110" spans="1:28" s="22" customFormat="1" x14ac:dyDescent="0.25">
      <c r="A110" s="37" t="s">
        <v>113</v>
      </c>
      <c r="B110" s="28">
        <f t="shared" si="18"/>
        <v>11000</v>
      </c>
      <c r="C110" s="28">
        <f t="shared" si="18"/>
        <v>11000</v>
      </c>
      <c r="D110" s="28">
        <f t="shared" si="18"/>
        <v>0</v>
      </c>
      <c r="E110" s="28"/>
      <c r="F110" s="28"/>
      <c r="G110" s="28">
        <f t="shared" si="19"/>
        <v>0</v>
      </c>
      <c r="H110" s="28"/>
      <c r="I110" s="28">
        <v>11000</v>
      </c>
      <c r="J110" s="28">
        <f t="shared" si="20"/>
        <v>11000</v>
      </c>
      <c r="K110" s="28">
        <v>11000</v>
      </c>
      <c r="L110" s="28"/>
      <c r="M110" s="28">
        <f t="shared" si="21"/>
        <v>-11000</v>
      </c>
      <c r="N110" s="28"/>
      <c r="O110" s="28"/>
      <c r="P110" s="28">
        <f t="shared" si="22"/>
        <v>0</v>
      </c>
      <c r="Q110" s="28"/>
      <c r="R110" s="28"/>
      <c r="S110" s="28">
        <f t="shared" si="23"/>
        <v>0</v>
      </c>
      <c r="T110" s="28"/>
      <c r="U110" s="28"/>
      <c r="V110" s="28">
        <f t="shared" si="24"/>
        <v>0</v>
      </c>
      <c r="W110" s="28"/>
      <c r="X110" s="28"/>
      <c r="Y110" s="28">
        <f t="shared" si="25"/>
        <v>0</v>
      </c>
      <c r="Z110" s="28"/>
      <c r="AA110" s="28"/>
      <c r="AB110" s="28">
        <f t="shared" si="26"/>
        <v>0</v>
      </c>
    </row>
    <row r="111" spans="1:28" s="22" customFormat="1" x14ac:dyDescent="0.25">
      <c r="A111" s="37" t="s">
        <v>114</v>
      </c>
      <c r="B111" s="28">
        <f t="shared" si="18"/>
        <v>10000</v>
      </c>
      <c r="C111" s="28">
        <f t="shared" si="18"/>
        <v>10000</v>
      </c>
      <c r="D111" s="28">
        <f t="shared" si="18"/>
        <v>0</v>
      </c>
      <c r="E111" s="28"/>
      <c r="F111" s="28"/>
      <c r="G111" s="28">
        <f t="shared" si="19"/>
        <v>0</v>
      </c>
      <c r="H111" s="28"/>
      <c r="I111" s="28">
        <f>5000+5000</f>
        <v>10000</v>
      </c>
      <c r="J111" s="28">
        <f t="shared" si="20"/>
        <v>10000</v>
      </c>
      <c r="K111" s="28">
        <f>5000+5000</f>
        <v>10000</v>
      </c>
      <c r="L111" s="28"/>
      <c r="M111" s="28">
        <f t="shared" si="21"/>
        <v>-10000</v>
      </c>
      <c r="N111" s="28"/>
      <c r="O111" s="28"/>
      <c r="P111" s="28">
        <f t="shared" si="22"/>
        <v>0</v>
      </c>
      <c r="Q111" s="28"/>
      <c r="R111" s="28"/>
      <c r="S111" s="28">
        <f t="shared" si="23"/>
        <v>0</v>
      </c>
      <c r="T111" s="28"/>
      <c r="U111" s="28"/>
      <c r="V111" s="28">
        <f t="shared" si="24"/>
        <v>0</v>
      </c>
      <c r="W111" s="28"/>
      <c r="X111" s="28"/>
      <c r="Y111" s="28">
        <f t="shared" si="25"/>
        <v>0</v>
      </c>
      <c r="Z111" s="28"/>
      <c r="AA111" s="28"/>
      <c r="AB111" s="28">
        <f t="shared" si="26"/>
        <v>0</v>
      </c>
    </row>
    <row r="112" spans="1:28" s="22" customFormat="1" x14ac:dyDescent="0.25">
      <c r="A112" s="37" t="s">
        <v>115</v>
      </c>
      <c r="B112" s="28">
        <f t="shared" si="18"/>
        <v>11000</v>
      </c>
      <c r="C112" s="28">
        <f t="shared" si="18"/>
        <v>11000</v>
      </c>
      <c r="D112" s="28">
        <f t="shared" si="18"/>
        <v>0</v>
      </c>
      <c r="E112" s="28"/>
      <c r="F112" s="28"/>
      <c r="G112" s="28">
        <f t="shared" si="19"/>
        <v>0</v>
      </c>
      <c r="H112" s="28"/>
      <c r="I112" s="28">
        <v>11000</v>
      </c>
      <c r="J112" s="28">
        <f t="shared" si="20"/>
        <v>11000</v>
      </c>
      <c r="K112" s="28">
        <v>11000</v>
      </c>
      <c r="L112" s="28"/>
      <c r="M112" s="28">
        <f t="shared" si="21"/>
        <v>-11000</v>
      </c>
      <c r="N112" s="28"/>
      <c r="O112" s="28"/>
      <c r="P112" s="28">
        <f t="shared" si="22"/>
        <v>0</v>
      </c>
      <c r="Q112" s="28"/>
      <c r="R112" s="28"/>
      <c r="S112" s="28">
        <f t="shared" si="23"/>
        <v>0</v>
      </c>
      <c r="T112" s="28"/>
      <c r="U112" s="28"/>
      <c r="V112" s="28">
        <f t="shared" si="24"/>
        <v>0</v>
      </c>
      <c r="W112" s="28"/>
      <c r="X112" s="28"/>
      <c r="Y112" s="28">
        <f t="shared" si="25"/>
        <v>0</v>
      </c>
      <c r="Z112" s="28"/>
      <c r="AA112" s="28"/>
      <c r="AB112" s="28">
        <f t="shared" si="26"/>
        <v>0</v>
      </c>
    </row>
    <row r="113" spans="1:28" s="22" customFormat="1" x14ac:dyDescent="0.25">
      <c r="A113" s="37" t="s">
        <v>116</v>
      </c>
      <c r="B113" s="28">
        <f t="shared" si="18"/>
        <v>7500</v>
      </c>
      <c r="C113" s="28">
        <f t="shared" si="18"/>
        <v>7500</v>
      </c>
      <c r="D113" s="28">
        <f t="shared" si="18"/>
        <v>0</v>
      </c>
      <c r="E113" s="28"/>
      <c r="F113" s="28"/>
      <c r="G113" s="28">
        <f t="shared" si="19"/>
        <v>0</v>
      </c>
      <c r="H113" s="28"/>
      <c r="I113" s="28">
        <f>9000-1500</f>
        <v>7500</v>
      </c>
      <c r="J113" s="28">
        <f t="shared" si="20"/>
        <v>7500</v>
      </c>
      <c r="K113" s="28">
        <f>9000-1500</f>
        <v>7500</v>
      </c>
      <c r="L113" s="28"/>
      <c r="M113" s="28">
        <f t="shared" si="21"/>
        <v>-7500</v>
      </c>
      <c r="N113" s="28"/>
      <c r="O113" s="28"/>
      <c r="P113" s="28">
        <f t="shared" si="22"/>
        <v>0</v>
      </c>
      <c r="Q113" s="28"/>
      <c r="R113" s="28"/>
      <c r="S113" s="28">
        <f t="shared" si="23"/>
        <v>0</v>
      </c>
      <c r="T113" s="28"/>
      <c r="U113" s="28"/>
      <c r="V113" s="28">
        <f t="shared" si="24"/>
        <v>0</v>
      </c>
      <c r="W113" s="28"/>
      <c r="X113" s="28"/>
      <c r="Y113" s="28">
        <f t="shared" si="25"/>
        <v>0</v>
      </c>
      <c r="Z113" s="28"/>
      <c r="AA113" s="28"/>
      <c r="AB113" s="28">
        <f t="shared" si="26"/>
        <v>0</v>
      </c>
    </row>
    <row r="114" spans="1:28" s="22" customFormat="1" x14ac:dyDescent="0.25">
      <c r="A114" s="37" t="s">
        <v>117</v>
      </c>
      <c r="B114" s="28">
        <f t="shared" si="18"/>
        <v>9000</v>
      </c>
      <c r="C114" s="28">
        <f t="shared" si="18"/>
        <v>9000</v>
      </c>
      <c r="D114" s="28">
        <f t="shared" si="18"/>
        <v>0</v>
      </c>
      <c r="E114" s="28"/>
      <c r="F114" s="28"/>
      <c r="G114" s="28">
        <f t="shared" si="19"/>
        <v>0</v>
      </c>
      <c r="H114" s="28"/>
      <c r="I114" s="28">
        <v>9000</v>
      </c>
      <c r="J114" s="28">
        <f t="shared" si="20"/>
        <v>9000</v>
      </c>
      <c r="K114" s="28">
        <v>9000</v>
      </c>
      <c r="L114" s="28"/>
      <c r="M114" s="28">
        <f t="shared" si="21"/>
        <v>-9000</v>
      </c>
      <c r="N114" s="28"/>
      <c r="O114" s="28"/>
      <c r="P114" s="28">
        <f t="shared" si="22"/>
        <v>0</v>
      </c>
      <c r="Q114" s="28"/>
      <c r="R114" s="28"/>
      <c r="S114" s="28">
        <f t="shared" si="23"/>
        <v>0</v>
      </c>
      <c r="T114" s="28"/>
      <c r="U114" s="28"/>
      <c r="V114" s="28">
        <f t="shared" si="24"/>
        <v>0</v>
      </c>
      <c r="W114" s="28"/>
      <c r="X114" s="28"/>
      <c r="Y114" s="28">
        <f t="shared" si="25"/>
        <v>0</v>
      </c>
      <c r="Z114" s="28"/>
      <c r="AA114" s="28"/>
      <c r="AB114" s="28">
        <f t="shared" si="26"/>
        <v>0</v>
      </c>
    </row>
    <row r="115" spans="1:28" s="22" customFormat="1" x14ac:dyDescent="0.25">
      <c r="A115" s="37" t="s">
        <v>118</v>
      </c>
      <c r="B115" s="28">
        <f t="shared" si="18"/>
        <v>9000</v>
      </c>
      <c r="C115" s="28">
        <f t="shared" si="18"/>
        <v>9000</v>
      </c>
      <c r="D115" s="28">
        <f t="shared" si="18"/>
        <v>0</v>
      </c>
      <c r="E115" s="28"/>
      <c r="F115" s="28"/>
      <c r="G115" s="28">
        <f t="shared" si="19"/>
        <v>0</v>
      </c>
      <c r="H115" s="28"/>
      <c r="I115" s="28">
        <v>9000</v>
      </c>
      <c r="J115" s="28">
        <f t="shared" si="20"/>
        <v>9000</v>
      </c>
      <c r="K115" s="28">
        <v>9000</v>
      </c>
      <c r="L115" s="28"/>
      <c r="M115" s="28">
        <f t="shared" si="21"/>
        <v>-9000</v>
      </c>
      <c r="N115" s="28"/>
      <c r="O115" s="28"/>
      <c r="P115" s="28">
        <f t="shared" si="22"/>
        <v>0</v>
      </c>
      <c r="Q115" s="28"/>
      <c r="R115" s="28"/>
      <c r="S115" s="28">
        <f t="shared" si="23"/>
        <v>0</v>
      </c>
      <c r="T115" s="28"/>
      <c r="U115" s="28"/>
      <c r="V115" s="28">
        <f t="shared" si="24"/>
        <v>0</v>
      </c>
      <c r="W115" s="28"/>
      <c r="X115" s="28"/>
      <c r="Y115" s="28">
        <f t="shared" si="25"/>
        <v>0</v>
      </c>
      <c r="Z115" s="28"/>
      <c r="AA115" s="28"/>
      <c r="AB115" s="28">
        <f t="shared" si="26"/>
        <v>0</v>
      </c>
    </row>
    <row r="116" spans="1:28" s="22" customFormat="1" x14ac:dyDescent="0.25">
      <c r="A116" s="37" t="s">
        <v>119</v>
      </c>
      <c r="B116" s="28">
        <f t="shared" si="18"/>
        <v>9000</v>
      </c>
      <c r="C116" s="28">
        <f t="shared" si="18"/>
        <v>9000</v>
      </c>
      <c r="D116" s="28">
        <f t="shared" si="18"/>
        <v>0</v>
      </c>
      <c r="E116" s="28"/>
      <c r="F116" s="28"/>
      <c r="G116" s="28">
        <f t="shared" si="19"/>
        <v>0</v>
      </c>
      <c r="H116" s="28"/>
      <c r="I116" s="28">
        <v>9000</v>
      </c>
      <c r="J116" s="28">
        <f t="shared" si="20"/>
        <v>9000</v>
      </c>
      <c r="K116" s="28">
        <v>9000</v>
      </c>
      <c r="L116" s="28"/>
      <c r="M116" s="28">
        <f t="shared" si="21"/>
        <v>-9000</v>
      </c>
      <c r="N116" s="28"/>
      <c r="O116" s="28"/>
      <c r="P116" s="28">
        <f t="shared" si="22"/>
        <v>0</v>
      </c>
      <c r="Q116" s="28"/>
      <c r="R116" s="28"/>
      <c r="S116" s="28">
        <f t="shared" si="23"/>
        <v>0</v>
      </c>
      <c r="T116" s="28"/>
      <c r="U116" s="28"/>
      <c r="V116" s="28">
        <f t="shared" si="24"/>
        <v>0</v>
      </c>
      <c r="W116" s="28"/>
      <c r="X116" s="28"/>
      <c r="Y116" s="28">
        <f t="shared" si="25"/>
        <v>0</v>
      </c>
      <c r="Z116" s="28"/>
      <c r="AA116" s="28"/>
      <c r="AB116" s="28">
        <f t="shared" si="26"/>
        <v>0</v>
      </c>
    </row>
    <row r="117" spans="1:28" s="22" customFormat="1" x14ac:dyDescent="0.25">
      <c r="A117" s="37" t="s">
        <v>120</v>
      </c>
      <c r="B117" s="28">
        <f t="shared" si="18"/>
        <v>10000</v>
      </c>
      <c r="C117" s="28">
        <f t="shared" si="18"/>
        <v>10000</v>
      </c>
      <c r="D117" s="28">
        <f t="shared" si="18"/>
        <v>0</v>
      </c>
      <c r="E117" s="28"/>
      <c r="F117" s="28"/>
      <c r="G117" s="28">
        <f t="shared" si="19"/>
        <v>0</v>
      </c>
      <c r="H117" s="28"/>
      <c r="I117" s="28">
        <v>10000</v>
      </c>
      <c r="J117" s="28">
        <f t="shared" si="20"/>
        <v>10000</v>
      </c>
      <c r="K117" s="28">
        <v>10000</v>
      </c>
      <c r="L117" s="28"/>
      <c r="M117" s="28">
        <f t="shared" si="21"/>
        <v>-10000</v>
      </c>
      <c r="N117" s="28"/>
      <c r="O117" s="28"/>
      <c r="P117" s="28">
        <f t="shared" si="22"/>
        <v>0</v>
      </c>
      <c r="Q117" s="28"/>
      <c r="R117" s="28"/>
      <c r="S117" s="28">
        <f t="shared" si="23"/>
        <v>0</v>
      </c>
      <c r="T117" s="28"/>
      <c r="U117" s="28"/>
      <c r="V117" s="28">
        <f t="shared" si="24"/>
        <v>0</v>
      </c>
      <c r="W117" s="28"/>
      <c r="X117" s="28"/>
      <c r="Y117" s="28">
        <f t="shared" si="25"/>
        <v>0</v>
      </c>
      <c r="Z117" s="28"/>
      <c r="AA117" s="28"/>
      <c r="AB117" s="28">
        <f t="shared" si="26"/>
        <v>0</v>
      </c>
    </row>
    <row r="118" spans="1:28" s="22" customFormat="1" x14ac:dyDescent="0.25">
      <c r="A118" s="37" t="s">
        <v>121</v>
      </c>
      <c r="B118" s="28">
        <f t="shared" si="18"/>
        <v>11000</v>
      </c>
      <c r="C118" s="28">
        <f t="shared" si="18"/>
        <v>11000</v>
      </c>
      <c r="D118" s="28">
        <f t="shared" si="18"/>
        <v>0</v>
      </c>
      <c r="E118" s="28"/>
      <c r="F118" s="28"/>
      <c r="G118" s="28">
        <f t="shared" si="19"/>
        <v>0</v>
      </c>
      <c r="H118" s="28"/>
      <c r="I118" s="28">
        <f>5500+5500</f>
        <v>11000</v>
      </c>
      <c r="J118" s="28">
        <f t="shared" si="20"/>
        <v>11000</v>
      </c>
      <c r="K118" s="28">
        <f>5500+5500</f>
        <v>11000</v>
      </c>
      <c r="L118" s="28"/>
      <c r="M118" s="28">
        <f t="shared" si="21"/>
        <v>-11000</v>
      </c>
      <c r="N118" s="28"/>
      <c r="O118" s="28"/>
      <c r="P118" s="28">
        <f t="shared" si="22"/>
        <v>0</v>
      </c>
      <c r="Q118" s="28"/>
      <c r="R118" s="28"/>
      <c r="S118" s="28">
        <f t="shared" si="23"/>
        <v>0</v>
      </c>
      <c r="T118" s="28"/>
      <c r="U118" s="28"/>
      <c r="V118" s="28">
        <f t="shared" si="24"/>
        <v>0</v>
      </c>
      <c r="W118" s="28"/>
      <c r="X118" s="28"/>
      <c r="Y118" s="28">
        <f t="shared" si="25"/>
        <v>0</v>
      </c>
      <c r="Z118" s="28"/>
      <c r="AA118" s="28"/>
      <c r="AB118" s="28">
        <f t="shared" si="26"/>
        <v>0</v>
      </c>
    </row>
    <row r="119" spans="1:28" s="22" customFormat="1" x14ac:dyDescent="0.25">
      <c r="A119" s="37" t="s">
        <v>122</v>
      </c>
      <c r="B119" s="28">
        <f t="shared" si="18"/>
        <v>9000</v>
      </c>
      <c r="C119" s="28">
        <f t="shared" si="18"/>
        <v>9000</v>
      </c>
      <c r="D119" s="28">
        <f t="shared" si="18"/>
        <v>0</v>
      </c>
      <c r="E119" s="28"/>
      <c r="F119" s="28"/>
      <c r="G119" s="28">
        <f t="shared" si="19"/>
        <v>0</v>
      </c>
      <c r="H119" s="28"/>
      <c r="I119" s="28">
        <v>9000</v>
      </c>
      <c r="J119" s="28">
        <f t="shared" si="20"/>
        <v>9000</v>
      </c>
      <c r="K119" s="28">
        <v>9000</v>
      </c>
      <c r="L119" s="28"/>
      <c r="M119" s="28">
        <f t="shared" si="21"/>
        <v>-9000</v>
      </c>
      <c r="N119" s="28"/>
      <c r="O119" s="28"/>
      <c r="P119" s="28">
        <f t="shared" si="22"/>
        <v>0</v>
      </c>
      <c r="Q119" s="28"/>
      <c r="R119" s="28"/>
      <c r="S119" s="28">
        <f t="shared" si="23"/>
        <v>0</v>
      </c>
      <c r="T119" s="28"/>
      <c r="U119" s="28"/>
      <c r="V119" s="28">
        <f t="shared" si="24"/>
        <v>0</v>
      </c>
      <c r="W119" s="28"/>
      <c r="X119" s="28"/>
      <c r="Y119" s="28">
        <f t="shared" si="25"/>
        <v>0</v>
      </c>
      <c r="Z119" s="28"/>
      <c r="AA119" s="28"/>
      <c r="AB119" s="28">
        <f t="shared" si="26"/>
        <v>0</v>
      </c>
    </row>
    <row r="120" spans="1:28" s="22" customFormat="1" x14ac:dyDescent="0.25">
      <c r="A120" s="37" t="s">
        <v>123</v>
      </c>
      <c r="B120" s="28">
        <f t="shared" si="18"/>
        <v>11000</v>
      </c>
      <c r="C120" s="28">
        <f t="shared" si="18"/>
        <v>11000</v>
      </c>
      <c r="D120" s="28">
        <f t="shared" si="18"/>
        <v>0</v>
      </c>
      <c r="E120" s="28"/>
      <c r="F120" s="28"/>
      <c r="G120" s="28">
        <f t="shared" si="19"/>
        <v>0</v>
      </c>
      <c r="H120" s="28"/>
      <c r="I120" s="28">
        <f>5500+5500</f>
        <v>11000</v>
      </c>
      <c r="J120" s="28">
        <f t="shared" si="20"/>
        <v>11000</v>
      </c>
      <c r="K120" s="28">
        <f>5500+5500</f>
        <v>11000</v>
      </c>
      <c r="L120" s="28"/>
      <c r="M120" s="28">
        <f t="shared" si="21"/>
        <v>-11000</v>
      </c>
      <c r="N120" s="28"/>
      <c r="O120" s="28"/>
      <c r="P120" s="28">
        <f t="shared" si="22"/>
        <v>0</v>
      </c>
      <c r="Q120" s="28"/>
      <c r="R120" s="28"/>
      <c r="S120" s="28">
        <f t="shared" si="23"/>
        <v>0</v>
      </c>
      <c r="T120" s="28"/>
      <c r="U120" s="28"/>
      <c r="V120" s="28">
        <f t="shared" si="24"/>
        <v>0</v>
      </c>
      <c r="W120" s="28"/>
      <c r="X120" s="28"/>
      <c r="Y120" s="28">
        <f t="shared" si="25"/>
        <v>0</v>
      </c>
      <c r="Z120" s="28"/>
      <c r="AA120" s="28"/>
      <c r="AB120" s="28">
        <f t="shared" si="26"/>
        <v>0</v>
      </c>
    </row>
    <row r="121" spans="1:28" s="22" customFormat="1" x14ac:dyDescent="0.25">
      <c r="A121" s="37" t="s">
        <v>124</v>
      </c>
      <c r="B121" s="28">
        <f t="shared" si="18"/>
        <v>11000</v>
      </c>
      <c r="C121" s="28">
        <f t="shared" si="18"/>
        <v>13000</v>
      </c>
      <c r="D121" s="28">
        <f t="shared" si="18"/>
        <v>2000</v>
      </c>
      <c r="E121" s="28"/>
      <c r="F121" s="28"/>
      <c r="G121" s="28">
        <f t="shared" si="19"/>
        <v>0</v>
      </c>
      <c r="H121" s="28"/>
      <c r="I121" s="28">
        <f>5500+5500</f>
        <v>11000</v>
      </c>
      <c r="J121" s="28">
        <f t="shared" si="20"/>
        <v>11000</v>
      </c>
      <c r="K121" s="28">
        <f>5500+5500</f>
        <v>11000</v>
      </c>
      <c r="L121" s="28">
        <f>2000</f>
        <v>2000</v>
      </c>
      <c r="M121" s="28">
        <f t="shared" si="21"/>
        <v>-9000</v>
      </c>
      <c r="N121" s="28"/>
      <c r="O121" s="28"/>
      <c r="P121" s="28">
        <f t="shared" si="22"/>
        <v>0</v>
      </c>
      <c r="Q121" s="28"/>
      <c r="R121" s="28"/>
      <c r="S121" s="28">
        <f t="shared" si="23"/>
        <v>0</v>
      </c>
      <c r="T121" s="28"/>
      <c r="U121" s="28"/>
      <c r="V121" s="28">
        <f t="shared" si="24"/>
        <v>0</v>
      </c>
      <c r="W121" s="28"/>
      <c r="X121" s="28"/>
      <c r="Y121" s="28">
        <f t="shared" si="25"/>
        <v>0</v>
      </c>
      <c r="Z121" s="28"/>
      <c r="AA121" s="28"/>
      <c r="AB121" s="28">
        <f t="shared" si="26"/>
        <v>0</v>
      </c>
    </row>
    <row r="122" spans="1:28" s="22" customFormat="1" x14ac:dyDescent="0.25">
      <c r="A122" s="37" t="s">
        <v>125</v>
      </c>
      <c r="B122" s="28">
        <f t="shared" si="18"/>
        <v>5500</v>
      </c>
      <c r="C122" s="28">
        <f t="shared" si="18"/>
        <v>5500</v>
      </c>
      <c r="D122" s="28">
        <f t="shared" si="18"/>
        <v>0</v>
      </c>
      <c r="E122" s="28"/>
      <c r="F122" s="28"/>
      <c r="G122" s="28">
        <f t="shared" si="19"/>
        <v>0</v>
      </c>
      <c r="H122" s="28"/>
      <c r="I122" s="28">
        <v>5500</v>
      </c>
      <c r="J122" s="28">
        <f t="shared" si="20"/>
        <v>5500</v>
      </c>
      <c r="K122" s="28">
        <v>5500</v>
      </c>
      <c r="L122" s="28"/>
      <c r="M122" s="28">
        <f t="shared" si="21"/>
        <v>-5500</v>
      </c>
      <c r="N122" s="28"/>
      <c r="O122" s="28"/>
      <c r="P122" s="28">
        <f t="shared" si="22"/>
        <v>0</v>
      </c>
      <c r="Q122" s="28"/>
      <c r="R122" s="28"/>
      <c r="S122" s="28">
        <f t="shared" si="23"/>
        <v>0</v>
      </c>
      <c r="T122" s="28"/>
      <c r="U122" s="28"/>
      <c r="V122" s="28">
        <f t="shared" si="24"/>
        <v>0</v>
      </c>
      <c r="W122" s="28"/>
      <c r="X122" s="28"/>
      <c r="Y122" s="28">
        <f t="shared" si="25"/>
        <v>0</v>
      </c>
      <c r="Z122" s="28"/>
      <c r="AA122" s="28"/>
      <c r="AB122" s="28">
        <f t="shared" si="26"/>
        <v>0</v>
      </c>
    </row>
    <row r="123" spans="1:28" s="22" customFormat="1" x14ac:dyDescent="0.25">
      <c r="A123" s="37" t="s">
        <v>126</v>
      </c>
      <c r="B123" s="28">
        <f t="shared" si="18"/>
        <v>13500</v>
      </c>
      <c r="C123" s="28">
        <f t="shared" si="18"/>
        <v>13500</v>
      </c>
      <c r="D123" s="28">
        <f t="shared" si="18"/>
        <v>0</v>
      </c>
      <c r="E123" s="28"/>
      <c r="F123" s="28"/>
      <c r="G123" s="28">
        <f t="shared" si="19"/>
        <v>0</v>
      </c>
      <c r="H123" s="28"/>
      <c r="I123" s="28">
        <f>9000+4500</f>
        <v>13500</v>
      </c>
      <c r="J123" s="28">
        <f t="shared" si="20"/>
        <v>13500</v>
      </c>
      <c r="K123" s="28">
        <f>9000+4500</f>
        <v>13500</v>
      </c>
      <c r="L123" s="28"/>
      <c r="M123" s="28">
        <f t="shared" si="21"/>
        <v>-13500</v>
      </c>
      <c r="N123" s="28"/>
      <c r="O123" s="28"/>
      <c r="P123" s="28">
        <f t="shared" si="22"/>
        <v>0</v>
      </c>
      <c r="Q123" s="28"/>
      <c r="R123" s="28"/>
      <c r="S123" s="28">
        <f t="shared" si="23"/>
        <v>0</v>
      </c>
      <c r="T123" s="28"/>
      <c r="U123" s="28"/>
      <c r="V123" s="28">
        <f t="shared" si="24"/>
        <v>0</v>
      </c>
      <c r="W123" s="28"/>
      <c r="X123" s="28"/>
      <c r="Y123" s="28">
        <f t="shared" si="25"/>
        <v>0</v>
      </c>
      <c r="Z123" s="28"/>
      <c r="AA123" s="28"/>
      <c r="AB123" s="28">
        <f t="shared" si="26"/>
        <v>0</v>
      </c>
    </row>
    <row r="124" spans="1:28" s="22" customFormat="1" x14ac:dyDescent="0.25">
      <c r="A124" s="37" t="s">
        <v>127</v>
      </c>
      <c r="B124" s="28">
        <f t="shared" si="18"/>
        <v>4500</v>
      </c>
      <c r="C124" s="28">
        <f t="shared" si="18"/>
        <v>4500</v>
      </c>
      <c r="D124" s="28">
        <f t="shared" si="18"/>
        <v>0</v>
      </c>
      <c r="E124" s="28"/>
      <c r="F124" s="28"/>
      <c r="G124" s="28">
        <f t="shared" si="19"/>
        <v>0</v>
      </c>
      <c r="H124" s="28"/>
      <c r="I124" s="28">
        <v>4500</v>
      </c>
      <c r="J124" s="28">
        <f t="shared" si="20"/>
        <v>4500</v>
      </c>
      <c r="K124" s="28">
        <v>4500</v>
      </c>
      <c r="L124" s="28"/>
      <c r="M124" s="28">
        <f t="shared" si="21"/>
        <v>-4500</v>
      </c>
      <c r="N124" s="28"/>
      <c r="O124" s="28"/>
      <c r="P124" s="28">
        <f t="shared" si="22"/>
        <v>0</v>
      </c>
      <c r="Q124" s="28"/>
      <c r="R124" s="28"/>
      <c r="S124" s="28">
        <f t="shared" si="23"/>
        <v>0</v>
      </c>
      <c r="T124" s="28"/>
      <c r="U124" s="28"/>
      <c r="V124" s="28">
        <f t="shared" si="24"/>
        <v>0</v>
      </c>
      <c r="W124" s="28"/>
      <c r="X124" s="28"/>
      <c r="Y124" s="28">
        <f t="shared" si="25"/>
        <v>0</v>
      </c>
      <c r="Z124" s="28"/>
      <c r="AA124" s="28"/>
      <c r="AB124" s="28">
        <f t="shared" si="26"/>
        <v>0</v>
      </c>
    </row>
    <row r="125" spans="1:28" s="22" customFormat="1" x14ac:dyDescent="0.25">
      <c r="A125" s="37" t="s">
        <v>128</v>
      </c>
      <c r="B125" s="28">
        <f t="shared" si="18"/>
        <v>14000</v>
      </c>
      <c r="C125" s="28">
        <f t="shared" si="18"/>
        <v>14000</v>
      </c>
      <c r="D125" s="28">
        <f t="shared" si="18"/>
        <v>0</v>
      </c>
      <c r="E125" s="28"/>
      <c r="F125" s="28"/>
      <c r="G125" s="28">
        <f t="shared" si="19"/>
        <v>0</v>
      </c>
      <c r="H125" s="28"/>
      <c r="I125" s="28">
        <v>14000</v>
      </c>
      <c r="J125" s="28">
        <f t="shared" si="20"/>
        <v>14000</v>
      </c>
      <c r="K125" s="28">
        <v>14000</v>
      </c>
      <c r="L125" s="28"/>
      <c r="M125" s="28">
        <f t="shared" si="21"/>
        <v>-14000</v>
      </c>
      <c r="N125" s="28"/>
      <c r="O125" s="28"/>
      <c r="P125" s="28">
        <f t="shared" si="22"/>
        <v>0</v>
      </c>
      <c r="Q125" s="28"/>
      <c r="R125" s="28"/>
      <c r="S125" s="28">
        <f t="shared" si="23"/>
        <v>0</v>
      </c>
      <c r="T125" s="28"/>
      <c r="U125" s="28"/>
      <c r="V125" s="28">
        <f t="shared" si="24"/>
        <v>0</v>
      </c>
      <c r="W125" s="28"/>
      <c r="X125" s="28"/>
      <c r="Y125" s="28">
        <f t="shared" si="25"/>
        <v>0</v>
      </c>
      <c r="Z125" s="28"/>
      <c r="AA125" s="28"/>
      <c r="AB125" s="28">
        <f t="shared" si="26"/>
        <v>0</v>
      </c>
    </row>
    <row r="126" spans="1:28" s="22" customFormat="1" x14ac:dyDescent="0.25">
      <c r="A126" s="37" t="s">
        <v>129</v>
      </c>
      <c r="B126" s="28">
        <f t="shared" si="18"/>
        <v>16600</v>
      </c>
      <c r="C126" s="28">
        <f t="shared" si="18"/>
        <v>16600</v>
      </c>
      <c r="D126" s="28">
        <f t="shared" si="18"/>
        <v>0</v>
      </c>
      <c r="E126" s="28"/>
      <c r="F126" s="28"/>
      <c r="G126" s="28">
        <f t="shared" si="19"/>
        <v>0</v>
      </c>
      <c r="H126" s="28">
        <v>3600</v>
      </c>
      <c r="I126" s="28">
        <f>3600+13000</f>
        <v>16600</v>
      </c>
      <c r="J126" s="28">
        <f t="shared" si="20"/>
        <v>13000</v>
      </c>
      <c r="K126" s="28">
        <v>13000</v>
      </c>
      <c r="L126" s="28"/>
      <c r="M126" s="28">
        <f t="shared" si="21"/>
        <v>-13000</v>
      </c>
      <c r="N126" s="28"/>
      <c r="O126" s="28"/>
      <c r="P126" s="28">
        <f t="shared" si="22"/>
        <v>0</v>
      </c>
      <c r="Q126" s="28"/>
      <c r="R126" s="28"/>
      <c r="S126" s="28">
        <f t="shared" si="23"/>
        <v>0</v>
      </c>
      <c r="T126" s="28"/>
      <c r="U126" s="28"/>
      <c r="V126" s="28">
        <f t="shared" si="24"/>
        <v>0</v>
      </c>
      <c r="W126" s="28"/>
      <c r="X126" s="28"/>
      <c r="Y126" s="28">
        <f t="shared" si="25"/>
        <v>0</v>
      </c>
      <c r="Z126" s="28"/>
      <c r="AA126" s="28"/>
      <c r="AB126" s="28">
        <f t="shared" si="26"/>
        <v>0</v>
      </c>
    </row>
    <row r="127" spans="1:28" s="22" customFormat="1" x14ac:dyDescent="0.25">
      <c r="A127" s="37" t="s">
        <v>130</v>
      </c>
      <c r="B127" s="28">
        <f t="shared" si="18"/>
        <v>13000</v>
      </c>
      <c r="C127" s="28">
        <f t="shared" si="18"/>
        <v>13000</v>
      </c>
      <c r="D127" s="28">
        <f t="shared" si="18"/>
        <v>0</v>
      </c>
      <c r="E127" s="28"/>
      <c r="F127" s="28"/>
      <c r="G127" s="28">
        <f t="shared" si="19"/>
        <v>0</v>
      </c>
      <c r="H127" s="28"/>
      <c r="I127" s="28">
        <v>13000</v>
      </c>
      <c r="J127" s="28">
        <f t="shared" si="20"/>
        <v>13000</v>
      </c>
      <c r="K127" s="28">
        <v>13000</v>
      </c>
      <c r="L127" s="28"/>
      <c r="M127" s="28">
        <f t="shared" si="21"/>
        <v>-13000</v>
      </c>
      <c r="N127" s="28"/>
      <c r="O127" s="28"/>
      <c r="P127" s="28">
        <f t="shared" si="22"/>
        <v>0</v>
      </c>
      <c r="Q127" s="28"/>
      <c r="R127" s="28"/>
      <c r="S127" s="28">
        <f t="shared" si="23"/>
        <v>0</v>
      </c>
      <c r="T127" s="28"/>
      <c r="U127" s="28"/>
      <c r="V127" s="28">
        <f t="shared" si="24"/>
        <v>0</v>
      </c>
      <c r="W127" s="28"/>
      <c r="X127" s="28"/>
      <c r="Y127" s="28">
        <f t="shared" si="25"/>
        <v>0</v>
      </c>
      <c r="Z127" s="28"/>
      <c r="AA127" s="28"/>
      <c r="AB127" s="28">
        <f t="shared" si="26"/>
        <v>0</v>
      </c>
    </row>
    <row r="128" spans="1:28" s="22" customFormat="1" x14ac:dyDescent="0.25">
      <c r="A128" s="37" t="s">
        <v>131</v>
      </c>
      <c r="B128" s="28">
        <f t="shared" si="18"/>
        <v>14355</v>
      </c>
      <c r="C128" s="28">
        <f t="shared" si="18"/>
        <v>14355</v>
      </c>
      <c r="D128" s="28">
        <f t="shared" si="18"/>
        <v>0</v>
      </c>
      <c r="E128" s="28">
        <f>0</f>
        <v>0</v>
      </c>
      <c r="F128" s="28">
        <f>13000</f>
        <v>13000</v>
      </c>
      <c r="G128" s="28">
        <f t="shared" si="19"/>
        <v>13000</v>
      </c>
      <c r="H128" s="28"/>
      <c r="I128" s="28">
        <f>1355+13000-13000</f>
        <v>1355</v>
      </c>
      <c r="J128" s="28">
        <f t="shared" si="20"/>
        <v>1355</v>
      </c>
      <c r="K128" s="28">
        <f>1355+13000</f>
        <v>14355</v>
      </c>
      <c r="L128" s="28"/>
      <c r="M128" s="28">
        <f t="shared" si="21"/>
        <v>-14355</v>
      </c>
      <c r="N128" s="28"/>
      <c r="O128" s="28"/>
      <c r="P128" s="28">
        <f t="shared" si="22"/>
        <v>0</v>
      </c>
      <c r="Q128" s="28"/>
      <c r="R128" s="28"/>
      <c r="S128" s="28">
        <f t="shared" si="23"/>
        <v>0</v>
      </c>
      <c r="T128" s="28"/>
      <c r="U128" s="28"/>
      <c r="V128" s="28">
        <f t="shared" si="24"/>
        <v>0</v>
      </c>
      <c r="W128" s="28"/>
      <c r="X128" s="28"/>
      <c r="Y128" s="28">
        <f t="shared" si="25"/>
        <v>0</v>
      </c>
      <c r="Z128" s="28"/>
      <c r="AA128" s="28"/>
      <c r="AB128" s="28">
        <f t="shared" si="26"/>
        <v>0</v>
      </c>
    </row>
    <row r="129" spans="1:28" s="21" customFormat="1" ht="47.25" x14ac:dyDescent="0.25">
      <c r="A129" s="34" t="s">
        <v>132</v>
      </c>
      <c r="B129" s="20">
        <f t="shared" si="18"/>
        <v>458006</v>
      </c>
      <c r="C129" s="20">
        <f t="shared" si="18"/>
        <v>458006</v>
      </c>
      <c r="D129" s="20">
        <f t="shared" si="18"/>
        <v>0</v>
      </c>
      <c r="E129" s="20">
        <f>SUM(E130:E160)</f>
        <v>0</v>
      </c>
      <c r="F129" s="20">
        <f>SUM(F130:F160)</f>
        <v>0</v>
      </c>
      <c r="G129" s="20">
        <f t="shared" si="19"/>
        <v>0</v>
      </c>
      <c r="H129" s="20">
        <f>SUM(H130:H160)</f>
        <v>0</v>
      </c>
      <c r="I129" s="20">
        <f>SUM(I130:I160)</f>
        <v>0</v>
      </c>
      <c r="J129" s="20">
        <f t="shared" si="20"/>
        <v>0</v>
      </c>
      <c r="K129" s="20">
        <f>SUM(K130:K160)</f>
        <v>458006</v>
      </c>
      <c r="L129" s="20">
        <f>SUM(L130:L160)</f>
        <v>458006</v>
      </c>
      <c r="M129" s="20">
        <f t="shared" si="21"/>
        <v>0</v>
      </c>
      <c r="N129" s="20">
        <f>SUM(N130:N160)</f>
        <v>0</v>
      </c>
      <c r="O129" s="20">
        <f>SUM(O130:O160)</f>
        <v>0</v>
      </c>
      <c r="P129" s="20">
        <f t="shared" si="22"/>
        <v>0</v>
      </c>
      <c r="Q129" s="20">
        <f>SUM(Q130:Q160)</f>
        <v>0</v>
      </c>
      <c r="R129" s="20">
        <f>SUM(R130:R160)</f>
        <v>0</v>
      </c>
      <c r="S129" s="20">
        <f t="shared" si="23"/>
        <v>0</v>
      </c>
      <c r="T129" s="20">
        <f>SUM(T130:T160)</f>
        <v>0</v>
      </c>
      <c r="U129" s="20">
        <f>SUM(U130:U160)</f>
        <v>0</v>
      </c>
      <c r="V129" s="20">
        <f t="shared" si="24"/>
        <v>0</v>
      </c>
      <c r="W129" s="20">
        <f>SUM(W130:W160)</f>
        <v>0</v>
      </c>
      <c r="X129" s="20">
        <f>SUM(X130:X160)</f>
        <v>0</v>
      </c>
      <c r="Y129" s="20">
        <f t="shared" si="25"/>
        <v>0</v>
      </c>
      <c r="Z129" s="20">
        <f>SUM(Z130:Z160)</f>
        <v>0</v>
      </c>
      <c r="AA129" s="20">
        <f>SUM(AA130:AA160)</f>
        <v>0</v>
      </c>
      <c r="AB129" s="20">
        <f t="shared" si="26"/>
        <v>0</v>
      </c>
    </row>
    <row r="130" spans="1:28" s="22" customFormat="1" x14ac:dyDescent="0.25">
      <c r="A130" s="24" t="s">
        <v>133</v>
      </c>
      <c r="B130" s="25">
        <f t="shared" si="18"/>
        <v>16000</v>
      </c>
      <c r="C130" s="25">
        <f t="shared" si="18"/>
        <v>16000</v>
      </c>
      <c r="D130" s="25">
        <f t="shared" si="18"/>
        <v>0</v>
      </c>
      <c r="E130" s="25"/>
      <c r="F130" s="25"/>
      <c r="G130" s="25">
        <f t="shared" si="19"/>
        <v>0</v>
      </c>
      <c r="H130" s="25"/>
      <c r="I130" s="25"/>
      <c r="J130" s="25">
        <f t="shared" si="20"/>
        <v>0</v>
      </c>
      <c r="K130" s="25">
        <v>16000</v>
      </c>
      <c r="L130" s="25">
        <v>16000</v>
      </c>
      <c r="M130" s="25">
        <f t="shared" si="21"/>
        <v>0</v>
      </c>
      <c r="N130" s="25"/>
      <c r="O130" s="25"/>
      <c r="P130" s="25">
        <f t="shared" si="22"/>
        <v>0</v>
      </c>
      <c r="Q130" s="25"/>
      <c r="R130" s="25"/>
      <c r="S130" s="25">
        <f t="shared" si="23"/>
        <v>0</v>
      </c>
      <c r="T130" s="25"/>
      <c r="U130" s="25"/>
      <c r="V130" s="25">
        <f t="shared" si="24"/>
        <v>0</v>
      </c>
      <c r="W130" s="25"/>
      <c r="X130" s="25"/>
      <c r="Y130" s="25">
        <f t="shared" si="25"/>
        <v>0</v>
      </c>
      <c r="Z130" s="25"/>
      <c r="AA130" s="25"/>
      <c r="AB130" s="25">
        <f t="shared" si="26"/>
        <v>0</v>
      </c>
    </row>
    <row r="131" spans="1:28" s="22" customFormat="1" x14ac:dyDescent="0.25">
      <c r="A131" s="24" t="s">
        <v>97</v>
      </c>
      <c r="B131" s="25">
        <f t="shared" si="18"/>
        <v>11999</v>
      </c>
      <c r="C131" s="25">
        <f t="shared" si="18"/>
        <v>11999</v>
      </c>
      <c r="D131" s="25">
        <f t="shared" si="18"/>
        <v>0</v>
      </c>
      <c r="E131" s="25"/>
      <c r="F131" s="25"/>
      <c r="G131" s="25">
        <f t="shared" si="19"/>
        <v>0</v>
      </c>
      <c r="H131" s="25"/>
      <c r="I131" s="25"/>
      <c r="J131" s="25">
        <f t="shared" si="20"/>
        <v>0</v>
      </c>
      <c r="K131" s="25">
        <v>11999</v>
      </c>
      <c r="L131" s="25">
        <v>11999</v>
      </c>
      <c r="M131" s="25">
        <f t="shared" si="21"/>
        <v>0</v>
      </c>
      <c r="N131" s="25"/>
      <c r="O131" s="25"/>
      <c r="P131" s="25">
        <f t="shared" si="22"/>
        <v>0</v>
      </c>
      <c r="Q131" s="25"/>
      <c r="R131" s="25"/>
      <c r="S131" s="25">
        <f t="shared" si="23"/>
        <v>0</v>
      </c>
      <c r="T131" s="25"/>
      <c r="U131" s="25"/>
      <c r="V131" s="25">
        <f t="shared" si="24"/>
        <v>0</v>
      </c>
      <c r="W131" s="25"/>
      <c r="X131" s="25"/>
      <c r="Y131" s="25">
        <f t="shared" si="25"/>
        <v>0</v>
      </c>
      <c r="Z131" s="25"/>
      <c r="AA131" s="25"/>
      <c r="AB131" s="25">
        <f t="shared" si="26"/>
        <v>0</v>
      </c>
    </row>
    <row r="132" spans="1:28" s="22" customFormat="1" x14ac:dyDescent="0.25">
      <c r="A132" s="24" t="s">
        <v>134</v>
      </c>
      <c r="B132" s="25">
        <f t="shared" si="18"/>
        <v>10000</v>
      </c>
      <c r="C132" s="25">
        <f t="shared" si="18"/>
        <v>10000</v>
      </c>
      <c r="D132" s="25">
        <f t="shared" si="18"/>
        <v>0</v>
      </c>
      <c r="E132" s="25"/>
      <c r="F132" s="25"/>
      <c r="G132" s="25">
        <f t="shared" si="19"/>
        <v>0</v>
      </c>
      <c r="H132" s="25"/>
      <c r="I132" s="25"/>
      <c r="J132" s="25">
        <f t="shared" si="20"/>
        <v>0</v>
      </c>
      <c r="K132" s="25">
        <f>10000</f>
        <v>10000</v>
      </c>
      <c r="L132" s="25">
        <f>10000</f>
        <v>10000</v>
      </c>
      <c r="M132" s="25">
        <f t="shared" si="21"/>
        <v>0</v>
      </c>
      <c r="N132" s="25"/>
      <c r="O132" s="25"/>
      <c r="P132" s="25">
        <f t="shared" si="22"/>
        <v>0</v>
      </c>
      <c r="Q132" s="25"/>
      <c r="R132" s="25"/>
      <c r="S132" s="25">
        <f t="shared" si="23"/>
        <v>0</v>
      </c>
      <c r="T132" s="25"/>
      <c r="U132" s="25"/>
      <c r="V132" s="25">
        <f t="shared" si="24"/>
        <v>0</v>
      </c>
      <c r="W132" s="25"/>
      <c r="X132" s="25"/>
      <c r="Y132" s="25">
        <f t="shared" si="25"/>
        <v>0</v>
      </c>
      <c r="Z132" s="25"/>
      <c r="AA132" s="25"/>
      <c r="AB132" s="25">
        <f t="shared" si="26"/>
        <v>0</v>
      </c>
    </row>
    <row r="133" spans="1:28" s="22" customFormat="1" x14ac:dyDescent="0.25">
      <c r="A133" s="24" t="s">
        <v>100</v>
      </c>
      <c r="B133" s="25">
        <f t="shared" si="18"/>
        <v>12000</v>
      </c>
      <c r="C133" s="25">
        <f t="shared" si="18"/>
        <v>12000</v>
      </c>
      <c r="D133" s="25">
        <f t="shared" si="18"/>
        <v>0</v>
      </c>
      <c r="E133" s="25"/>
      <c r="F133" s="25"/>
      <c r="G133" s="25">
        <f t="shared" si="19"/>
        <v>0</v>
      </c>
      <c r="H133" s="25"/>
      <c r="I133" s="25"/>
      <c r="J133" s="25">
        <f t="shared" si="20"/>
        <v>0</v>
      </c>
      <c r="K133" s="25">
        <v>12000</v>
      </c>
      <c r="L133" s="25">
        <v>12000</v>
      </c>
      <c r="M133" s="25">
        <f t="shared" si="21"/>
        <v>0</v>
      </c>
      <c r="N133" s="25"/>
      <c r="O133" s="25"/>
      <c r="P133" s="25">
        <f t="shared" si="22"/>
        <v>0</v>
      </c>
      <c r="Q133" s="25"/>
      <c r="R133" s="25"/>
      <c r="S133" s="25">
        <f t="shared" si="23"/>
        <v>0</v>
      </c>
      <c r="T133" s="25"/>
      <c r="U133" s="25"/>
      <c r="V133" s="25">
        <f t="shared" si="24"/>
        <v>0</v>
      </c>
      <c r="W133" s="25"/>
      <c r="X133" s="25"/>
      <c r="Y133" s="25">
        <f t="shared" si="25"/>
        <v>0</v>
      </c>
      <c r="Z133" s="25"/>
      <c r="AA133" s="25"/>
      <c r="AB133" s="25">
        <f t="shared" si="26"/>
        <v>0</v>
      </c>
    </row>
    <row r="134" spans="1:28" s="22" customFormat="1" x14ac:dyDescent="0.25">
      <c r="A134" s="24" t="s">
        <v>101</v>
      </c>
      <c r="B134" s="25">
        <f t="shared" si="18"/>
        <v>9999</v>
      </c>
      <c r="C134" s="25">
        <f t="shared" si="18"/>
        <v>9999</v>
      </c>
      <c r="D134" s="25">
        <f t="shared" si="18"/>
        <v>0</v>
      </c>
      <c r="E134" s="25"/>
      <c r="F134" s="25"/>
      <c r="G134" s="25">
        <f t="shared" si="19"/>
        <v>0</v>
      </c>
      <c r="H134" s="25"/>
      <c r="I134" s="25"/>
      <c r="J134" s="25">
        <f t="shared" si="20"/>
        <v>0</v>
      </c>
      <c r="K134" s="25">
        <v>9999</v>
      </c>
      <c r="L134" s="25">
        <v>9999</v>
      </c>
      <c r="M134" s="25">
        <f t="shared" si="21"/>
        <v>0</v>
      </c>
      <c r="N134" s="25"/>
      <c r="O134" s="25"/>
      <c r="P134" s="25">
        <f t="shared" si="22"/>
        <v>0</v>
      </c>
      <c r="Q134" s="25"/>
      <c r="R134" s="25"/>
      <c r="S134" s="25">
        <f t="shared" si="23"/>
        <v>0</v>
      </c>
      <c r="T134" s="25"/>
      <c r="U134" s="25"/>
      <c r="V134" s="25">
        <f t="shared" si="24"/>
        <v>0</v>
      </c>
      <c r="W134" s="25"/>
      <c r="X134" s="25"/>
      <c r="Y134" s="25">
        <f t="shared" si="25"/>
        <v>0</v>
      </c>
      <c r="Z134" s="25"/>
      <c r="AA134" s="25"/>
      <c r="AB134" s="25">
        <f t="shared" si="26"/>
        <v>0</v>
      </c>
    </row>
    <row r="135" spans="1:28" s="22" customFormat="1" x14ac:dyDescent="0.25">
      <c r="A135" s="24" t="s">
        <v>102</v>
      </c>
      <c r="B135" s="25">
        <f t="shared" si="18"/>
        <v>14000</v>
      </c>
      <c r="C135" s="25">
        <f t="shared" si="18"/>
        <v>14000</v>
      </c>
      <c r="D135" s="25">
        <f t="shared" si="18"/>
        <v>0</v>
      </c>
      <c r="E135" s="25"/>
      <c r="F135" s="25"/>
      <c r="G135" s="25">
        <f t="shared" si="19"/>
        <v>0</v>
      </c>
      <c r="H135" s="25"/>
      <c r="I135" s="25"/>
      <c r="J135" s="25">
        <f t="shared" si="20"/>
        <v>0</v>
      </c>
      <c r="K135" s="25">
        <v>14000</v>
      </c>
      <c r="L135" s="25">
        <v>14000</v>
      </c>
      <c r="M135" s="25">
        <f t="shared" si="21"/>
        <v>0</v>
      </c>
      <c r="N135" s="25"/>
      <c r="O135" s="25"/>
      <c r="P135" s="25">
        <f t="shared" si="22"/>
        <v>0</v>
      </c>
      <c r="Q135" s="25"/>
      <c r="R135" s="25"/>
      <c r="S135" s="25">
        <f t="shared" si="23"/>
        <v>0</v>
      </c>
      <c r="T135" s="25"/>
      <c r="U135" s="25"/>
      <c r="V135" s="25">
        <f t="shared" si="24"/>
        <v>0</v>
      </c>
      <c r="W135" s="25"/>
      <c r="X135" s="25"/>
      <c r="Y135" s="25">
        <f t="shared" si="25"/>
        <v>0</v>
      </c>
      <c r="Z135" s="25"/>
      <c r="AA135" s="25"/>
      <c r="AB135" s="25">
        <f t="shared" si="26"/>
        <v>0</v>
      </c>
    </row>
    <row r="136" spans="1:28" s="22" customFormat="1" x14ac:dyDescent="0.25">
      <c r="A136" s="24" t="s">
        <v>103</v>
      </c>
      <c r="B136" s="25">
        <f t="shared" si="18"/>
        <v>13000</v>
      </c>
      <c r="C136" s="25">
        <f t="shared" si="18"/>
        <v>13000</v>
      </c>
      <c r="D136" s="25">
        <f t="shared" si="18"/>
        <v>0</v>
      </c>
      <c r="E136" s="25"/>
      <c r="F136" s="25"/>
      <c r="G136" s="25">
        <f t="shared" si="19"/>
        <v>0</v>
      </c>
      <c r="H136" s="25"/>
      <c r="I136" s="25"/>
      <c r="J136" s="25">
        <f t="shared" si="20"/>
        <v>0</v>
      </c>
      <c r="K136" s="25">
        <v>13000</v>
      </c>
      <c r="L136" s="25">
        <v>13000</v>
      </c>
      <c r="M136" s="25">
        <f t="shared" si="21"/>
        <v>0</v>
      </c>
      <c r="N136" s="25"/>
      <c r="O136" s="25"/>
      <c r="P136" s="25">
        <f t="shared" si="22"/>
        <v>0</v>
      </c>
      <c r="Q136" s="25"/>
      <c r="R136" s="25"/>
      <c r="S136" s="25">
        <f t="shared" si="23"/>
        <v>0</v>
      </c>
      <c r="T136" s="25"/>
      <c r="U136" s="25"/>
      <c r="V136" s="25">
        <f t="shared" si="24"/>
        <v>0</v>
      </c>
      <c r="W136" s="25"/>
      <c r="X136" s="25"/>
      <c r="Y136" s="25">
        <f t="shared" si="25"/>
        <v>0</v>
      </c>
      <c r="Z136" s="25"/>
      <c r="AA136" s="25"/>
      <c r="AB136" s="25">
        <f t="shared" si="26"/>
        <v>0</v>
      </c>
    </row>
    <row r="137" spans="1:28" s="22" customFormat="1" x14ac:dyDescent="0.25">
      <c r="A137" s="24" t="s">
        <v>104</v>
      </c>
      <c r="B137" s="25">
        <f t="shared" si="18"/>
        <v>10000</v>
      </c>
      <c r="C137" s="25">
        <f t="shared" si="18"/>
        <v>10000</v>
      </c>
      <c r="D137" s="25">
        <f t="shared" si="18"/>
        <v>0</v>
      </c>
      <c r="E137" s="25"/>
      <c r="F137" s="25"/>
      <c r="G137" s="25">
        <f t="shared" si="19"/>
        <v>0</v>
      </c>
      <c r="H137" s="25"/>
      <c r="I137" s="25"/>
      <c r="J137" s="25">
        <f t="shared" si="20"/>
        <v>0</v>
      </c>
      <c r="K137" s="25">
        <v>10000</v>
      </c>
      <c r="L137" s="25">
        <v>10000</v>
      </c>
      <c r="M137" s="25">
        <f t="shared" si="21"/>
        <v>0</v>
      </c>
      <c r="N137" s="25"/>
      <c r="O137" s="25"/>
      <c r="P137" s="25">
        <f t="shared" si="22"/>
        <v>0</v>
      </c>
      <c r="Q137" s="25"/>
      <c r="R137" s="25"/>
      <c r="S137" s="25">
        <f t="shared" si="23"/>
        <v>0</v>
      </c>
      <c r="T137" s="25"/>
      <c r="U137" s="25"/>
      <c r="V137" s="25">
        <f t="shared" si="24"/>
        <v>0</v>
      </c>
      <c r="W137" s="25"/>
      <c r="X137" s="25"/>
      <c r="Y137" s="25">
        <f t="shared" si="25"/>
        <v>0</v>
      </c>
      <c r="Z137" s="25"/>
      <c r="AA137" s="25"/>
      <c r="AB137" s="25">
        <f t="shared" si="26"/>
        <v>0</v>
      </c>
    </row>
    <row r="138" spans="1:28" s="22" customFormat="1" x14ac:dyDescent="0.25">
      <c r="A138" s="24" t="s">
        <v>135</v>
      </c>
      <c r="B138" s="25">
        <f t="shared" si="18"/>
        <v>14000</v>
      </c>
      <c r="C138" s="25">
        <f t="shared" si="18"/>
        <v>14000</v>
      </c>
      <c r="D138" s="25">
        <f t="shared" si="18"/>
        <v>0</v>
      </c>
      <c r="E138" s="25"/>
      <c r="F138" s="25"/>
      <c r="G138" s="25">
        <f t="shared" si="19"/>
        <v>0</v>
      </c>
      <c r="H138" s="25"/>
      <c r="I138" s="25"/>
      <c r="J138" s="25">
        <f t="shared" si="20"/>
        <v>0</v>
      </c>
      <c r="K138" s="25">
        <v>14000</v>
      </c>
      <c r="L138" s="25">
        <v>14000</v>
      </c>
      <c r="M138" s="25">
        <f t="shared" si="21"/>
        <v>0</v>
      </c>
      <c r="N138" s="25"/>
      <c r="O138" s="25"/>
      <c r="P138" s="25">
        <f t="shared" si="22"/>
        <v>0</v>
      </c>
      <c r="Q138" s="25"/>
      <c r="R138" s="25"/>
      <c r="S138" s="25">
        <f t="shared" si="23"/>
        <v>0</v>
      </c>
      <c r="T138" s="25"/>
      <c r="U138" s="25"/>
      <c r="V138" s="25">
        <f t="shared" si="24"/>
        <v>0</v>
      </c>
      <c r="W138" s="25"/>
      <c r="X138" s="25"/>
      <c r="Y138" s="25">
        <f t="shared" si="25"/>
        <v>0</v>
      </c>
      <c r="Z138" s="25"/>
      <c r="AA138" s="25"/>
      <c r="AB138" s="25">
        <f t="shared" si="26"/>
        <v>0</v>
      </c>
    </row>
    <row r="139" spans="1:28" s="22" customFormat="1" x14ac:dyDescent="0.25">
      <c r="A139" s="24" t="s">
        <v>136</v>
      </c>
      <c r="B139" s="25">
        <f t="shared" si="18"/>
        <v>16000</v>
      </c>
      <c r="C139" s="25">
        <f t="shared" si="18"/>
        <v>16000</v>
      </c>
      <c r="D139" s="25">
        <f t="shared" si="18"/>
        <v>0</v>
      </c>
      <c r="E139" s="25"/>
      <c r="F139" s="25"/>
      <c r="G139" s="25">
        <f t="shared" si="19"/>
        <v>0</v>
      </c>
      <c r="H139" s="25"/>
      <c r="I139" s="25"/>
      <c r="J139" s="25">
        <f t="shared" si="20"/>
        <v>0</v>
      </c>
      <c r="K139" s="25">
        <v>16000</v>
      </c>
      <c r="L139" s="25">
        <v>16000</v>
      </c>
      <c r="M139" s="25">
        <f t="shared" si="21"/>
        <v>0</v>
      </c>
      <c r="N139" s="25"/>
      <c r="O139" s="25"/>
      <c r="P139" s="25">
        <f t="shared" si="22"/>
        <v>0</v>
      </c>
      <c r="Q139" s="25"/>
      <c r="R139" s="25"/>
      <c r="S139" s="25">
        <f t="shared" si="23"/>
        <v>0</v>
      </c>
      <c r="T139" s="25"/>
      <c r="U139" s="25"/>
      <c r="V139" s="25">
        <f t="shared" si="24"/>
        <v>0</v>
      </c>
      <c r="W139" s="25"/>
      <c r="X139" s="25"/>
      <c r="Y139" s="25">
        <f t="shared" si="25"/>
        <v>0</v>
      </c>
      <c r="Z139" s="25"/>
      <c r="AA139" s="25"/>
      <c r="AB139" s="25">
        <f t="shared" si="26"/>
        <v>0</v>
      </c>
    </row>
    <row r="140" spans="1:28" s="22" customFormat="1" x14ac:dyDescent="0.25">
      <c r="A140" s="24" t="s">
        <v>137</v>
      </c>
      <c r="B140" s="25">
        <f t="shared" si="18"/>
        <v>14000</v>
      </c>
      <c r="C140" s="25">
        <f t="shared" si="18"/>
        <v>14000</v>
      </c>
      <c r="D140" s="25">
        <f t="shared" si="18"/>
        <v>0</v>
      </c>
      <c r="E140" s="25"/>
      <c r="F140" s="25"/>
      <c r="G140" s="25">
        <f t="shared" si="19"/>
        <v>0</v>
      </c>
      <c r="H140" s="25"/>
      <c r="I140" s="25"/>
      <c r="J140" s="25">
        <f t="shared" si="20"/>
        <v>0</v>
      </c>
      <c r="K140" s="25">
        <v>14000</v>
      </c>
      <c r="L140" s="25">
        <v>14000</v>
      </c>
      <c r="M140" s="25">
        <f t="shared" si="21"/>
        <v>0</v>
      </c>
      <c r="N140" s="25"/>
      <c r="O140" s="25"/>
      <c r="P140" s="25">
        <f t="shared" si="22"/>
        <v>0</v>
      </c>
      <c r="Q140" s="25"/>
      <c r="R140" s="25"/>
      <c r="S140" s="25">
        <f t="shared" si="23"/>
        <v>0</v>
      </c>
      <c r="T140" s="25"/>
      <c r="U140" s="25"/>
      <c r="V140" s="25">
        <f t="shared" si="24"/>
        <v>0</v>
      </c>
      <c r="W140" s="25"/>
      <c r="X140" s="25"/>
      <c r="Y140" s="25">
        <f t="shared" si="25"/>
        <v>0</v>
      </c>
      <c r="Z140" s="25"/>
      <c r="AA140" s="25"/>
      <c r="AB140" s="25">
        <f t="shared" si="26"/>
        <v>0</v>
      </c>
    </row>
    <row r="141" spans="1:28" s="22" customFormat="1" x14ac:dyDescent="0.25">
      <c r="A141" s="24" t="s">
        <v>108</v>
      </c>
      <c r="B141" s="25">
        <f t="shared" si="18"/>
        <v>14000</v>
      </c>
      <c r="C141" s="25">
        <f t="shared" si="18"/>
        <v>14000</v>
      </c>
      <c r="D141" s="25">
        <f t="shared" si="18"/>
        <v>0</v>
      </c>
      <c r="E141" s="25"/>
      <c r="F141" s="25"/>
      <c r="G141" s="25">
        <f t="shared" si="19"/>
        <v>0</v>
      </c>
      <c r="H141" s="25"/>
      <c r="I141" s="25"/>
      <c r="J141" s="25">
        <f t="shared" si="20"/>
        <v>0</v>
      </c>
      <c r="K141" s="25">
        <v>14000</v>
      </c>
      <c r="L141" s="25">
        <v>14000</v>
      </c>
      <c r="M141" s="25">
        <f t="shared" si="21"/>
        <v>0</v>
      </c>
      <c r="N141" s="25"/>
      <c r="O141" s="25"/>
      <c r="P141" s="25">
        <f t="shared" si="22"/>
        <v>0</v>
      </c>
      <c r="Q141" s="25"/>
      <c r="R141" s="25"/>
      <c r="S141" s="25">
        <f t="shared" si="23"/>
        <v>0</v>
      </c>
      <c r="T141" s="25"/>
      <c r="U141" s="25"/>
      <c r="V141" s="25">
        <f t="shared" si="24"/>
        <v>0</v>
      </c>
      <c r="W141" s="25"/>
      <c r="X141" s="25"/>
      <c r="Y141" s="25">
        <f t="shared" si="25"/>
        <v>0</v>
      </c>
      <c r="Z141" s="25"/>
      <c r="AA141" s="25"/>
      <c r="AB141" s="25">
        <f t="shared" si="26"/>
        <v>0</v>
      </c>
    </row>
    <row r="142" spans="1:28" s="22" customFormat="1" x14ac:dyDescent="0.25">
      <c r="A142" s="24" t="s">
        <v>138</v>
      </c>
      <c r="B142" s="25">
        <f t="shared" si="18"/>
        <v>14000</v>
      </c>
      <c r="C142" s="25">
        <f t="shared" si="18"/>
        <v>14000</v>
      </c>
      <c r="D142" s="25">
        <f t="shared" si="18"/>
        <v>0</v>
      </c>
      <c r="E142" s="25"/>
      <c r="F142" s="25"/>
      <c r="G142" s="25">
        <f t="shared" si="19"/>
        <v>0</v>
      </c>
      <c r="H142" s="25"/>
      <c r="I142" s="25"/>
      <c r="J142" s="25">
        <f t="shared" si="20"/>
        <v>0</v>
      </c>
      <c r="K142" s="25">
        <v>14000</v>
      </c>
      <c r="L142" s="25">
        <v>14000</v>
      </c>
      <c r="M142" s="25">
        <f t="shared" si="21"/>
        <v>0</v>
      </c>
      <c r="N142" s="25"/>
      <c r="O142" s="25"/>
      <c r="P142" s="25">
        <f t="shared" si="22"/>
        <v>0</v>
      </c>
      <c r="Q142" s="25"/>
      <c r="R142" s="25"/>
      <c r="S142" s="25">
        <f t="shared" si="23"/>
        <v>0</v>
      </c>
      <c r="T142" s="25"/>
      <c r="U142" s="25"/>
      <c r="V142" s="25">
        <f t="shared" si="24"/>
        <v>0</v>
      </c>
      <c r="W142" s="25"/>
      <c r="X142" s="25"/>
      <c r="Y142" s="25">
        <f t="shared" si="25"/>
        <v>0</v>
      </c>
      <c r="Z142" s="25"/>
      <c r="AA142" s="25"/>
      <c r="AB142" s="25">
        <f t="shared" si="26"/>
        <v>0</v>
      </c>
    </row>
    <row r="143" spans="1:28" s="22" customFormat="1" x14ac:dyDescent="0.25">
      <c r="A143" s="24" t="s">
        <v>139</v>
      </c>
      <c r="B143" s="25">
        <f t="shared" si="18"/>
        <v>13000</v>
      </c>
      <c r="C143" s="25">
        <f t="shared" si="18"/>
        <v>13000</v>
      </c>
      <c r="D143" s="25">
        <f t="shared" si="18"/>
        <v>0</v>
      </c>
      <c r="E143" s="25"/>
      <c r="F143" s="25"/>
      <c r="G143" s="25">
        <f t="shared" si="19"/>
        <v>0</v>
      </c>
      <c r="H143" s="25"/>
      <c r="I143" s="25"/>
      <c r="J143" s="25">
        <f t="shared" si="20"/>
        <v>0</v>
      </c>
      <c r="K143" s="25">
        <v>13000</v>
      </c>
      <c r="L143" s="25">
        <v>13000</v>
      </c>
      <c r="M143" s="25">
        <f t="shared" si="21"/>
        <v>0</v>
      </c>
      <c r="N143" s="25"/>
      <c r="O143" s="25"/>
      <c r="P143" s="25">
        <f t="shared" si="22"/>
        <v>0</v>
      </c>
      <c r="Q143" s="25"/>
      <c r="R143" s="25"/>
      <c r="S143" s="25">
        <f t="shared" si="23"/>
        <v>0</v>
      </c>
      <c r="T143" s="25"/>
      <c r="U143" s="25"/>
      <c r="V143" s="25">
        <f t="shared" si="24"/>
        <v>0</v>
      </c>
      <c r="W143" s="25"/>
      <c r="X143" s="25"/>
      <c r="Y143" s="25">
        <f t="shared" si="25"/>
        <v>0</v>
      </c>
      <c r="Z143" s="25"/>
      <c r="AA143" s="25"/>
      <c r="AB143" s="25">
        <f t="shared" si="26"/>
        <v>0</v>
      </c>
    </row>
    <row r="144" spans="1:28" s="22" customFormat="1" x14ac:dyDescent="0.25">
      <c r="A144" s="24" t="s">
        <v>113</v>
      </c>
      <c r="B144" s="25">
        <f t="shared" si="18"/>
        <v>16000</v>
      </c>
      <c r="C144" s="25">
        <f t="shared" si="18"/>
        <v>16000</v>
      </c>
      <c r="D144" s="25">
        <f t="shared" si="18"/>
        <v>0</v>
      </c>
      <c r="E144" s="25"/>
      <c r="F144" s="25"/>
      <c r="G144" s="25">
        <f t="shared" si="19"/>
        <v>0</v>
      </c>
      <c r="H144" s="25"/>
      <c r="I144" s="25"/>
      <c r="J144" s="25">
        <f t="shared" si="20"/>
        <v>0</v>
      </c>
      <c r="K144" s="25">
        <v>16000</v>
      </c>
      <c r="L144" s="25">
        <v>16000</v>
      </c>
      <c r="M144" s="25">
        <f t="shared" si="21"/>
        <v>0</v>
      </c>
      <c r="N144" s="25"/>
      <c r="O144" s="25"/>
      <c r="P144" s="25">
        <f t="shared" si="22"/>
        <v>0</v>
      </c>
      <c r="Q144" s="25"/>
      <c r="R144" s="25"/>
      <c r="S144" s="25">
        <f t="shared" si="23"/>
        <v>0</v>
      </c>
      <c r="T144" s="25"/>
      <c r="U144" s="25"/>
      <c r="V144" s="25">
        <f t="shared" si="24"/>
        <v>0</v>
      </c>
      <c r="W144" s="25"/>
      <c r="X144" s="25"/>
      <c r="Y144" s="25">
        <f t="shared" si="25"/>
        <v>0</v>
      </c>
      <c r="Z144" s="25"/>
      <c r="AA144" s="25"/>
      <c r="AB144" s="25">
        <f t="shared" si="26"/>
        <v>0</v>
      </c>
    </row>
    <row r="145" spans="1:28" s="22" customFormat="1" x14ac:dyDescent="0.25">
      <c r="A145" s="24" t="s">
        <v>140</v>
      </c>
      <c r="B145" s="25">
        <f t="shared" si="18"/>
        <v>10000</v>
      </c>
      <c r="C145" s="25">
        <f t="shared" si="18"/>
        <v>10000</v>
      </c>
      <c r="D145" s="25">
        <f t="shared" si="18"/>
        <v>0</v>
      </c>
      <c r="E145" s="25"/>
      <c r="F145" s="25"/>
      <c r="G145" s="25">
        <f t="shared" si="19"/>
        <v>0</v>
      </c>
      <c r="H145" s="25"/>
      <c r="I145" s="25"/>
      <c r="J145" s="25">
        <f t="shared" si="20"/>
        <v>0</v>
      </c>
      <c r="K145" s="25">
        <v>10000</v>
      </c>
      <c r="L145" s="25">
        <v>10000</v>
      </c>
      <c r="M145" s="25">
        <f t="shared" si="21"/>
        <v>0</v>
      </c>
      <c r="N145" s="25"/>
      <c r="O145" s="25"/>
      <c r="P145" s="25">
        <f t="shared" si="22"/>
        <v>0</v>
      </c>
      <c r="Q145" s="25"/>
      <c r="R145" s="25"/>
      <c r="S145" s="25">
        <f t="shared" si="23"/>
        <v>0</v>
      </c>
      <c r="T145" s="25"/>
      <c r="U145" s="25"/>
      <c r="V145" s="25">
        <f t="shared" si="24"/>
        <v>0</v>
      </c>
      <c r="W145" s="25"/>
      <c r="X145" s="25"/>
      <c r="Y145" s="25">
        <f t="shared" si="25"/>
        <v>0</v>
      </c>
      <c r="Z145" s="25"/>
      <c r="AA145" s="25"/>
      <c r="AB145" s="25">
        <f t="shared" si="26"/>
        <v>0</v>
      </c>
    </row>
    <row r="146" spans="1:28" s="22" customFormat="1" x14ac:dyDescent="0.25">
      <c r="A146" s="35" t="s">
        <v>141</v>
      </c>
      <c r="B146" s="25">
        <f t="shared" si="18"/>
        <v>16000</v>
      </c>
      <c r="C146" s="25">
        <f t="shared" si="18"/>
        <v>16000</v>
      </c>
      <c r="D146" s="25">
        <f t="shared" si="18"/>
        <v>0</v>
      </c>
      <c r="E146" s="25"/>
      <c r="F146" s="25"/>
      <c r="G146" s="25">
        <f t="shared" si="19"/>
        <v>0</v>
      </c>
      <c r="H146" s="25"/>
      <c r="I146" s="25"/>
      <c r="J146" s="25">
        <f t="shared" si="20"/>
        <v>0</v>
      </c>
      <c r="K146" s="25">
        <v>16000</v>
      </c>
      <c r="L146" s="25">
        <v>16000</v>
      </c>
      <c r="M146" s="25">
        <f t="shared" si="21"/>
        <v>0</v>
      </c>
      <c r="N146" s="25"/>
      <c r="O146" s="25"/>
      <c r="P146" s="25">
        <f t="shared" si="22"/>
        <v>0</v>
      </c>
      <c r="Q146" s="25"/>
      <c r="R146" s="25"/>
      <c r="S146" s="25">
        <f t="shared" si="23"/>
        <v>0</v>
      </c>
      <c r="T146" s="25"/>
      <c r="U146" s="25"/>
      <c r="V146" s="25">
        <f t="shared" si="24"/>
        <v>0</v>
      </c>
      <c r="W146" s="25"/>
      <c r="X146" s="25"/>
      <c r="Y146" s="25">
        <f t="shared" si="25"/>
        <v>0</v>
      </c>
      <c r="Z146" s="25"/>
      <c r="AA146" s="25"/>
      <c r="AB146" s="25">
        <f t="shared" si="26"/>
        <v>0</v>
      </c>
    </row>
    <row r="147" spans="1:28" s="22" customFormat="1" x14ac:dyDescent="0.25">
      <c r="A147" s="35" t="s">
        <v>117</v>
      </c>
      <c r="B147" s="25">
        <f t="shared" si="18"/>
        <v>14000</v>
      </c>
      <c r="C147" s="25">
        <f t="shared" si="18"/>
        <v>14000</v>
      </c>
      <c r="D147" s="25">
        <f t="shared" si="18"/>
        <v>0</v>
      </c>
      <c r="E147" s="25"/>
      <c r="F147" s="25"/>
      <c r="G147" s="25">
        <f t="shared" si="19"/>
        <v>0</v>
      </c>
      <c r="H147" s="25"/>
      <c r="I147" s="25"/>
      <c r="J147" s="25">
        <f t="shared" si="20"/>
        <v>0</v>
      </c>
      <c r="K147" s="25">
        <v>14000</v>
      </c>
      <c r="L147" s="25">
        <v>14000</v>
      </c>
      <c r="M147" s="25">
        <f t="shared" si="21"/>
        <v>0</v>
      </c>
      <c r="N147" s="25"/>
      <c r="O147" s="25"/>
      <c r="P147" s="25">
        <f t="shared" si="22"/>
        <v>0</v>
      </c>
      <c r="Q147" s="25"/>
      <c r="R147" s="25"/>
      <c r="S147" s="25">
        <f t="shared" si="23"/>
        <v>0</v>
      </c>
      <c r="T147" s="25"/>
      <c r="U147" s="25"/>
      <c r="V147" s="25">
        <f t="shared" si="24"/>
        <v>0</v>
      </c>
      <c r="W147" s="25"/>
      <c r="X147" s="25"/>
      <c r="Y147" s="25">
        <f t="shared" si="25"/>
        <v>0</v>
      </c>
      <c r="Z147" s="25"/>
      <c r="AA147" s="25"/>
      <c r="AB147" s="25">
        <f t="shared" si="26"/>
        <v>0</v>
      </c>
    </row>
    <row r="148" spans="1:28" s="22" customFormat="1" x14ac:dyDescent="0.25">
      <c r="A148" s="35" t="s">
        <v>118</v>
      </c>
      <c r="B148" s="25">
        <f t="shared" si="18"/>
        <v>8000</v>
      </c>
      <c r="C148" s="25">
        <f t="shared" si="18"/>
        <v>8000</v>
      </c>
      <c r="D148" s="25">
        <f t="shared" si="18"/>
        <v>0</v>
      </c>
      <c r="E148" s="25"/>
      <c r="F148" s="25"/>
      <c r="G148" s="25">
        <f t="shared" si="19"/>
        <v>0</v>
      </c>
      <c r="H148" s="25"/>
      <c r="I148" s="25"/>
      <c r="J148" s="25">
        <f t="shared" si="20"/>
        <v>0</v>
      </c>
      <c r="K148" s="25">
        <v>8000</v>
      </c>
      <c r="L148" s="25">
        <v>8000</v>
      </c>
      <c r="M148" s="25">
        <f t="shared" si="21"/>
        <v>0</v>
      </c>
      <c r="N148" s="25"/>
      <c r="O148" s="25"/>
      <c r="P148" s="25">
        <f t="shared" si="22"/>
        <v>0</v>
      </c>
      <c r="Q148" s="25"/>
      <c r="R148" s="25"/>
      <c r="S148" s="25">
        <f t="shared" si="23"/>
        <v>0</v>
      </c>
      <c r="T148" s="25"/>
      <c r="U148" s="25"/>
      <c r="V148" s="25">
        <f t="shared" si="24"/>
        <v>0</v>
      </c>
      <c r="W148" s="25"/>
      <c r="X148" s="25"/>
      <c r="Y148" s="25">
        <f t="shared" si="25"/>
        <v>0</v>
      </c>
      <c r="Z148" s="25"/>
      <c r="AA148" s="25"/>
      <c r="AB148" s="25">
        <f t="shared" si="26"/>
        <v>0</v>
      </c>
    </row>
    <row r="149" spans="1:28" s="22" customFormat="1" x14ac:dyDescent="0.25">
      <c r="A149" s="35" t="s">
        <v>120</v>
      </c>
      <c r="B149" s="25">
        <f t="shared" ref="B149:D213" si="27">E149+H149+K149+N149+Q149+T149+W149+Z149</f>
        <v>16000</v>
      </c>
      <c r="C149" s="25">
        <f t="shared" si="27"/>
        <v>16000</v>
      </c>
      <c r="D149" s="25">
        <f t="shared" si="27"/>
        <v>0</v>
      </c>
      <c r="E149" s="25"/>
      <c r="F149" s="25"/>
      <c r="G149" s="25">
        <f t="shared" ref="G149:G213" si="28">F149-E149</f>
        <v>0</v>
      </c>
      <c r="H149" s="25"/>
      <c r="I149" s="25"/>
      <c r="J149" s="25">
        <f t="shared" ref="J149:J213" si="29">I149-H149</f>
        <v>0</v>
      </c>
      <c r="K149" s="25">
        <v>16000</v>
      </c>
      <c r="L149" s="25">
        <v>16000</v>
      </c>
      <c r="M149" s="25">
        <f t="shared" ref="M149:M213" si="30">L149-K149</f>
        <v>0</v>
      </c>
      <c r="N149" s="25"/>
      <c r="O149" s="25"/>
      <c r="P149" s="25">
        <f t="shared" ref="P149:P213" si="31">O149-N149</f>
        <v>0</v>
      </c>
      <c r="Q149" s="25"/>
      <c r="R149" s="25"/>
      <c r="S149" s="25">
        <f t="shared" ref="S149:S213" si="32">R149-Q149</f>
        <v>0</v>
      </c>
      <c r="T149" s="25"/>
      <c r="U149" s="25"/>
      <c r="V149" s="25">
        <f t="shared" ref="V149:V213" si="33">U149-T149</f>
        <v>0</v>
      </c>
      <c r="W149" s="25"/>
      <c r="X149" s="25"/>
      <c r="Y149" s="25">
        <f t="shared" ref="Y149:Y213" si="34">X149-W149</f>
        <v>0</v>
      </c>
      <c r="Z149" s="25"/>
      <c r="AA149" s="25"/>
      <c r="AB149" s="25">
        <f t="shared" ref="AB149:AB213" si="35">AA149-Z149</f>
        <v>0</v>
      </c>
    </row>
    <row r="150" spans="1:28" s="22" customFormat="1" x14ac:dyDescent="0.25">
      <c r="A150" s="24" t="s">
        <v>142</v>
      </c>
      <c r="B150" s="25">
        <f t="shared" si="27"/>
        <v>21010</v>
      </c>
      <c r="C150" s="25">
        <f t="shared" si="27"/>
        <v>21010</v>
      </c>
      <c r="D150" s="25">
        <f t="shared" si="27"/>
        <v>0</v>
      </c>
      <c r="E150" s="25"/>
      <c r="F150" s="25"/>
      <c r="G150" s="25">
        <f t="shared" si="28"/>
        <v>0</v>
      </c>
      <c r="H150" s="25"/>
      <c r="I150" s="25"/>
      <c r="J150" s="25">
        <f t="shared" si="29"/>
        <v>0</v>
      </c>
      <c r="K150" s="25">
        <f>10000+11010</f>
        <v>21010</v>
      </c>
      <c r="L150" s="25">
        <f>10000+11010</f>
        <v>21010</v>
      </c>
      <c r="M150" s="25">
        <f t="shared" si="30"/>
        <v>0</v>
      </c>
      <c r="N150" s="25"/>
      <c r="O150" s="25"/>
      <c r="P150" s="25">
        <f t="shared" si="31"/>
        <v>0</v>
      </c>
      <c r="Q150" s="25"/>
      <c r="R150" s="25"/>
      <c r="S150" s="25">
        <f t="shared" si="32"/>
        <v>0</v>
      </c>
      <c r="T150" s="25"/>
      <c r="U150" s="25"/>
      <c r="V150" s="25">
        <f t="shared" si="33"/>
        <v>0</v>
      </c>
      <c r="W150" s="25"/>
      <c r="X150" s="25"/>
      <c r="Y150" s="25">
        <f t="shared" si="34"/>
        <v>0</v>
      </c>
      <c r="Z150" s="25"/>
      <c r="AA150" s="25"/>
      <c r="AB150" s="25">
        <f t="shared" si="35"/>
        <v>0</v>
      </c>
    </row>
    <row r="151" spans="1:28" s="22" customFormat="1" x14ac:dyDescent="0.25">
      <c r="A151" s="24" t="s">
        <v>122</v>
      </c>
      <c r="B151" s="25">
        <f t="shared" si="27"/>
        <v>14000</v>
      </c>
      <c r="C151" s="25">
        <f t="shared" si="27"/>
        <v>14000</v>
      </c>
      <c r="D151" s="25">
        <f t="shared" si="27"/>
        <v>0</v>
      </c>
      <c r="E151" s="25"/>
      <c r="F151" s="25"/>
      <c r="G151" s="25">
        <f t="shared" si="28"/>
        <v>0</v>
      </c>
      <c r="H151" s="25"/>
      <c r="I151" s="25"/>
      <c r="J151" s="25">
        <f t="shared" si="29"/>
        <v>0</v>
      </c>
      <c r="K151" s="25">
        <v>14000</v>
      </c>
      <c r="L151" s="25">
        <v>14000</v>
      </c>
      <c r="M151" s="25">
        <f t="shared" si="30"/>
        <v>0</v>
      </c>
      <c r="N151" s="25"/>
      <c r="O151" s="25"/>
      <c r="P151" s="25">
        <f t="shared" si="31"/>
        <v>0</v>
      </c>
      <c r="Q151" s="25"/>
      <c r="R151" s="25"/>
      <c r="S151" s="25">
        <f t="shared" si="32"/>
        <v>0</v>
      </c>
      <c r="T151" s="25"/>
      <c r="U151" s="25"/>
      <c r="V151" s="25">
        <f t="shared" si="33"/>
        <v>0</v>
      </c>
      <c r="W151" s="25"/>
      <c r="X151" s="25"/>
      <c r="Y151" s="25">
        <f t="shared" si="34"/>
        <v>0</v>
      </c>
      <c r="Z151" s="25"/>
      <c r="AA151" s="25"/>
      <c r="AB151" s="25">
        <f t="shared" si="35"/>
        <v>0</v>
      </c>
    </row>
    <row r="152" spans="1:28" s="22" customFormat="1" x14ac:dyDescent="0.25">
      <c r="A152" s="24" t="s">
        <v>143</v>
      </c>
      <c r="B152" s="25">
        <f t="shared" si="27"/>
        <v>21999</v>
      </c>
      <c r="C152" s="25">
        <f t="shared" si="27"/>
        <v>21999</v>
      </c>
      <c r="D152" s="25">
        <f t="shared" si="27"/>
        <v>0</v>
      </c>
      <c r="E152" s="25"/>
      <c r="F152" s="25"/>
      <c r="G152" s="25">
        <f t="shared" si="28"/>
        <v>0</v>
      </c>
      <c r="H152" s="25"/>
      <c r="I152" s="25"/>
      <c r="J152" s="25">
        <f t="shared" si="29"/>
        <v>0</v>
      </c>
      <c r="K152" s="25">
        <f>10000+11999</f>
        <v>21999</v>
      </c>
      <c r="L152" s="25">
        <f>10000+11999</f>
        <v>21999</v>
      </c>
      <c r="M152" s="25">
        <f t="shared" si="30"/>
        <v>0</v>
      </c>
      <c r="N152" s="25"/>
      <c r="O152" s="25"/>
      <c r="P152" s="25">
        <f t="shared" si="31"/>
        <v>0</v>
      </c>
      <c r="Q152" s="25"/>
      <c r="R152" s="25"/>
      <c r="S152" s="25">
        <f t="shared" si="32"/>
        <v>0</v>
      </c>
      <c r="T152" s="25"/>
      <c r="U152" s="25"/>
      <c r="V152" s="25">
        <f t="shared" si="33"/>
        <v>0</v>
      </c>
      <c r="W152" s="25"/>
      <c r="X152" s="25"/>
      <c r="Y152" s="25">
        <f t="shared" si="34"/>
        <v>0</v>
      </c>
      <c r="Z152" s="25"/>
      <c r="AA152" s="25"/>
      <c r="AB152" s="25">
        <f t="shared" si="35"/>
        <v>0</v>
      </c>
    </row>
    <row r="153" spans="1:28" s="22" customFormat="1" x14ac:dyDescent="0.25">
      <c r="A153" s="24" t="s">
        <v>144</v>
      </c>
      <c r="B153" s="25">
        <f t="shared" si="27"/>
        <v>16999</v>
      </c>
      <c r="C153" s="25">
        <f t="shared" si="27"/>
        <v>16999</v>
      </c>
      <c r="D153" s="25">
        <f t="shared" si="27"/>
        <v>0</v>
      </c>
      <c r="E153" s="25"/>
      <c r="F153" s="25"/>
      <c r="G153" s="25">
        <f t="shared" si="28"/>
        <v>0</v>
      </c>
      <c r="H153" s="25"/>
      <c r="I153" s="25"/>
      <c r="J153" s="25">
        <f t="shared" si="29"/>
        <v>0</v>
      </c>
      <c r="K153" s="25">
        <f>10000+6999</f>
        <v>16999</v>
      </c>
      <c r="L153" s="25">
        <f>10000+6999</f>
        <v>16999</v>
      </c>
      <c r="M153" s="25">
        <f t="shared" si="30"/>
        <v>0</v>
      </c>
      <c r="N153" s="25"/>
      <c r="O153" s="25"/>
      <c r="P153" s="25">
        <f t="shared" si="31"/>
        <v>0</v>
      </c>
      <c r="Q153" s="25"/>
      <c r="R153" s="25"/>
      <c r="S153" s="25">
        <f t="shared" si="32"/>
        <v>0</v>
      </c>
      <c r="T153" s="25"/>
      <c r="U153" s="25"/>
      <c r="V153" s="25">
        <f t="shared" si="33"/>
        <v>0</v>
      </c>
      <c r="W153" s="25"/>
      <c r="X153" s="25"/>
      <c r="Y153" s="25">
        <f t="shared" si="34"/>
        <v>0</v>
      </c>
      <c r="Z153" s="25"/>
      <c r="AA153" s="25"/>
      <c r="AB153" s="25">
        <f t="shared" si="35"/>
        <v>0</v>
      </c>
    </row>
    <row r="154" spans="1:28" s="22" customFormat="1" x14ac:dyDescent="0.25">
      <c r="A154" s="24" t="s">
        <v>125</v>
      </c>
      <c r="B154" s="25">
        <f t="shared" si="27"/>
        <v>12000</v>
      </c>
      <c r="C154" s="25">
        <f t="shared" si="27"/>
        <v>12000</v>
      </c>
      <c r="D154" s="25">
        <f t="shared" si="27"/>
        <v>0</v>
      </c>
      <c r="E154" s="25"/>
      <c r="F154" s="25"/>
      <c r="G154" s="25">
        <f t="shared" si="28"/>
        <v>0</v>
      </c>
      <c r="H154" s="25"/>
      <c r="I154" s="25"/>
      <c r="J154" s="25">
        <f t="shared" si="29"/>
        <v>0</v>
      </c>
      <c r="K154" s="25">
        <v>12000</v>
      </c>
      <c r="L154" s="25">
        <v>12000</v>
      </c>
      <c r="M154" s="25">
        <f t="shared" si="30"/>
        <v>0</v>
      </c>
      <c r="N154" s="25"/>
      <c r="O154" s="25"/>
      <c r="P154" s="25">
        <f t="shared" si="31"/>
        <v>0</v>
      </c>
      <c r="Q154" s="25"/>
      <c r="R154" s="25"/>
      <c r="S154" s="25">
        <f t="shared" si="32"/>
        <v>0</v>
      </c>
      <c r="T154" s="25"/>
      <c r="U154" s="25"/>
      <c r="V154" s="25">
        <f t="shared" si="33"/>
        <v>0</v>
      </c>
      <c r="W154" s="25"/>
      <c r="X154" s="25"/>
      <c r="Y154" s="25">
        <f t="shared" si="34"/>
        <v>0</v>
      </c>
      <c r="Z154" s="25"/>
      <c r="AA154" s="25"/>
      <c r="AB154" s="25">
        <f t="shared" si="35"/>
        <v>0</v>
      </c>
    </row>
    <row r="155" spans="1:28" s="22" customFormat="1" x14ac:dyDescent="0.25">
      <c r="A155" s="24" t="s">
        <v>145</v>
      </c>
      <c r="B155" s="25">
        <f t="shared" si="27"/>
        <v>31000</v>
      </c>
      <c r="C155" s="25">
        <f t="shared" si="27"/>
        <v>31000</v>
      </c>
      <c r="D155" s="25">
        <f t="shared" si="27"/>
        <v>0</v>
      </c>
      <c r="E155" s="25"/>
      <c r="F155" s="25"/>
      <c r="G155" s="25">
        <f t="shared" si="28"/>
        <v>0</v>
      </c>
      <c r="H155" s="25"/>
      <c r="I155" s="25"/>
      <c r="J155" s="25">
        <f t="shared" si="29"/>
        <v>0</v>
      </c>
      <c r="K155" s="25">
        <f>10000+10000+11000</f>
        <v>31000</v>
      </c>
      <c r="L155" s="25">
        <f>10000+10000+11000</f>
        <v>31000</v>
      </c>
      <c r="M155" s="25">
        <f t="shared" si="30"/>
        <v>0</v>
      </c>
      <c r="N155" s="25"/>
      <c r="O155" s="25"/>
      <c r="P155" s="25">
        <f t="shared" si="31"/>
        <v>0</v>
      </c>
      <c r="Q155" s="25"/>
      <c r="R155" s="25"/>
      <c r="S155" s="25">
        <f t="shared" si="32"/>
        <v>0</v>
      </c>
      <c r="T155" s="25"/>
      <c r="U155" s="25"/>
      <c r="V155" s="25">
        <f t="shared" si="33"/>
        <v>0</v>
      </c>
      <c r="W155" s="25"/>
      <c r="X155" s="25"/>
      <c r="Y155" s="25">
        <f t="shared" si="34"/>
        <v>0</v>
      </c>
      <c r="Z155" s="25"/>
      <c r="AA155" s="25"/>
      <c r="AB155" s="25">
        <f t="shared" si="35"/>
        <v>0</v>
      </c>
    </row>
    <row r="156" spans="1:28" s="22" customFormat="1" x14ac:dyDescent="0.25">
      <c r="A156" s="35" t="s">
        <v>127</v>
      </c>
      <c r="B156" s="25">
        <f t="shared" si="27"/>
        <v>11000</v>
      </c>
      <c r="C156" s="25">
        <f t="shared" si="27"/>
        <v>11000</v>
      </c>
      <c r="D156" s="25">
        <f t="shared" si="27"/>
        <v>0</v>
      </c>
      <c r="E156" s="25"/>
      <c r="F156" s="25"/>
      <c r="G156" s="25">
        <f t="shared" si="28"/>
        <v>0</v>
      </c>
      <c r="H156" s="25"/>
      <c r="I156" s="25"/>
      <c r="J156" s="25">
        <f t="shared" si="29"/>
        <v>0</v>
      </c>
      <c r="K156" s="25">
        <v>11000</v>
      </c>
      <c r="L156" s="25">
        <v>11000</v>
      </c>
      <c r="M156" s="25">
        <f t="shared" si="30"/>
        <v>0</v>
      </c>
      <c r="N156" s="25"/>
      <c r="O156" s="25"/>
      <c r="P156" s="25">
        <f t="shared" si="31"/>
        <v>0</v>
      </c>
      <c r="Q156" s="25"/>
      <c r="R156" s="25"/>
      <c r="S156" s="25">
        <f t="shared" si="32"/>
        <v>0</v>
      </c>
      <c r="T156" s="25"/>
      <c r="U156" s="25"/>
      <c r="V156" s="25">
        <f t="shared" si="33"/>
        <v>0</v>
      </c>
      <c r="W156" s="25"/>
      <c r="X156" s="25"/>
      <c r="Y156" s="25">
        <f t="shared" si="34"/>
        <v>0</v>
      </c>
      <c r="Z156" s="25"/>
      <c r="AA156" s="25"/>
      <c r="AB156" s="25">
        <f t="shared" si="35"/>
        <v>0</v>
      </c>
    </row>
    <row r="157" spans="1:28" s="22" customFormat="1" x14ac:dyDescent="0.25">
      <c r="A157" s="35" t="s">
        <v>128</v>
      </c>
      <c r="B157" s="25">
        <f t="shared" si="27"/>
        <v>17000</v>
      </c>
      <c r="C157" s="25">
        <f t="shared" si="27"/>
        <v>17000</v>
      </c>
      <c r="D157" s="25">
        <f t="shared" si="27"/>
        <v>0</v>
      </c>
      <c r="E157" s="25"/>
      <c r="F157" s="25"/>
      <c r="G157" s="25">
        <f t="shared" si="28"/>
        <v>0</v>
      </c>
      <c r="H157" s="25"/>
      <c r="I157" s="25"/>
      <c r="J157" s="25">
        <f t="shared" si="29"/>
        <v>0</v>
      </c>
      <c r="K157" s="25">
        <v>17000</v>
      </c>
      <c r="L157" s="25">
        <v>17000</v>
      </c>
      <c r="M157" s="25">
        <f t="shared" si="30"/>
        <v>0</v>
      </c>
      <c r="N157" s="25"/>
      <c r="O157" s="25"/>
      <c r="P157" s="25">
        <f t="shared" si="31"/>
        <v>0</v>
      </c>
      <c r="Q157" s="25"/>
      <c r="R157" s="25"/>
      <c r="S157" s="25">
        <f t="shared" si="32"/>
        <v>0</v>
      </c>
      <c r="T157" s="25"/>
      <c r="U157" s="25"/>
      <c r="V157" s="25">
        <f t="shared" si="33"/>
        <v>0</v>
      </c>
      <c r="W157" s="25"/>
      <c r="X157" s="25"/>
      <c r="Y157" s="25">
        <f t="shared" si="34"/>
        <v>0</v>
      </c>
      <c r="Z157" s="25"/>
      <c r="AA157" s="25"/>
      <c r="AB157" s="25">
        <f t="shared" si="35"/>
        <v>0</v>
      </c>
    </row>
    <row r="158" spans="1:28" s="22" customFormat="1" x14ac:dyDescent="0.25">
      <c r="A158" s="35" t="s">
        <v>146</v>
      </c>
      <c r="B158" s="25">
        <f t="shared" si="27"/>
        <v>17000</v>
      </c>
      <c r="C158" s="25">
        <f t="shared" si="27"/>
        <v>17000</v>
      </c>
      <c r="D158" s="25">
        <f t="shared" si="27"/>
        <v>0</v>
      </c>
      <c r="E158" s="25"/>
      <c r="F158" s="25"/>
      <c r="G158" s="25">
        <f t="shared" si="28"/>
        <v>0</v>
      </c>
      <c r="H158" s="25"/>
      <c r="I158" s="25"/>
      <c r="J158" s="25">
        <f t="shared" si="29"/>
        <v>0</v>
      </c>
      <c r="K158" s="25">
        <v>17000</v>
      </c>
      <c r="L158" s="25">
        <v>17000</v>
      </c>
      <c r="M158" s="25">
        <f t="shared" si="30"/>
        <v>0</v>
      </c>
      <c r="N158" s="25"/>
      <c r="O158" s="25"/>
      <c r="P158" s="25">
        <f t="shared" si="31"/>
        <v>0</v>
      </c>
      <c r="Q158" s="25"/>
      <c r="R158" s="25"/>
      <c r="S158" s="25">
        <f t="shared" si="32"/>
        <v>0</v>
      </c>
      <c r="T158" s="25"/>
      <c r="U158" s="25"/>
      <c r="V158" s="25">
        <f t="shared" si="33"/>
        <v>0</v>
      </c>
      <c r="W158" s="25"/>
      <c r="X158" s="25"/>
      <c r="Y158" s="25">
        <f t="shared" si="34"/>
        <v>0</v>
      </c>
      <c r="Z158" s="25"/>
      <c r="AA158" s="25"/>
      <c r="AB158" s="25">
        <f t="shared" si="35"/>
        <v>0</v>
      </c>
    </row>
    <row r="159" spans="1:28" s="22" customFormat="1" x14ac:dyDescent="0.25">
      <c r="A159" s="24" t="s">
        <v>130</v>
      </c>
      <c r="B159" s="25">
        <f t="shared" si="27"/>
        <v>17000</v>
      </c>
      <c r="C159" s="25">
        <f t="shared" si="27"/>
        <v>17000</v>
      </c>
      <c r="D159" s="25">
        <f t="shared" si="27"/>
        <v>0</v>
      </c>
      <c r="E159" s="25"/>
      <c r="F159" s="25"/>
      <c r="G159" s="25">
        <f t="shared" si="28"/>
        <v>0</v>
      </c>
      <c r="H159" s="25"/>
      <c r="I159" s="25"/>
      <c r="J159" s="25">
        <f t="shared" si="29"/>
        <v>0</v>
      </c>
      <c r="K159" s="25">
        <v>17000</v>
      </c>
      <c r="L159" s="25">
        <v>17000</v>
      </c>
      <c r="M159" s="25">
        <f t="shared" si="30"/>
        <v>0</v>
      </c>
      <c r="N159" s="25"/>
      <c r="O159" s="25"/>
      <c r="P159" s="25">
        <f t="shared" si="31"/>
        <v>0</v>
      </c>
      <c r="Q159" s="25"/>
      <c r="R159" s="25"/>
      <c r="S159" s="25">
        <f t="shared" si="32"/>
        <v>0</v>
      </c>
      <c r="T159" s="25"/>
      <c r="U159" s="25"/>
      <c r="V159" s="25">
        <f t="shared" si="33"/>
        <v>0</v>
      </c>
      <c r="W159" s="25"/>
      <c r="X159" s="25"/>
      <c r="Y159" s="25">
        <f t="shared" si="34"/>
        <v>0</v>
      </c>
      <c r="Z159" s="25"/>
      <c r="AA159" s="25"/>
      <c r="AB159" s="25">
        <f t="shared" si="35"/>
        <v>0</v>
      </c>
    </row>
    <row r="160" spans="1:28" s="22" customFormat="1" x14ac:dyDescent="0.25">
      <c r="A160" s="24" t="s">
        <v>147</v>
      </c>
      <c r="B160" s="25">
        <f t="shared" si="27"/>
        <v>17000</v>
      </c>
      <c r="C160" s="25">
        <f t="shared" si="27"/>
        <v>17000</v>
      </c>
      <c r="D160" s="25">
        <f t="shared" si="27"/>
        <v>0</v>
      </c>
      <c r="E160" s="25"/>
      <c r="F160" s="25"/>
      <c r="G160" s="25">
        <f t="shared" si="28"/>
        <v>0</v>
      </c>
      <c r="H160" s="25"/>
      <c r="I160" s="25"/>
      <c r="J160" s="25">
        <f t="shared" si="29"/>
        <v>0</v>
      </c>
      <c r="K160" s="25">
        <v>17000</v>
      </c>
      <c r="L160" s="25">
        <v>17000</v>
      </c>
      <c r="M160" s="25">
        <f t="shared" si="30"/>
        <v>0</v>
      </c>
      <c r="N160" s="25"/>
      <c r="O160" s="25"/>
      <c r="P160" s="25">
        <f t="shared" si="31"/>
        <v>0</v>
      </c>
      <c r="Q160" s="25"/>
      <c r="R160" s="25"/>
      <c r="S160" s="25">
        <f t="shared" si="32"/>
        <v>0</v>
      </c>
      <c r="T160" s="25"/>
      <c r="U160" s="25"/>
      <c r="V160" s="25">
        <f t="shared" si="33"/>
        <v>0</v>
      </c>
      <c r="W160" s="25"/>
      <c r="X160" s="25"/>
      <c r="Y160" s="25">
        <f t="shared" si="34"/>
        <v>0</v>
      </c>
      <c r="Z160" s="25"/>
      <c r="AA160" s="25"/>
      <c r="AB160" s="25">
        <f t="shared" si="35"/>
        <v>0</v>
      </c>
    </row>
    <row r="161" spans="1:194" s="21" customFormat="1" x14ac:dyDescent="0.25">
      <c r="A161" s="19" t="s">
        <v>148</v>
      </c>
      <c r="B161" s="20">
        <f t="shared" si="27"/>
        <v>1264050</v>
      </c>
      <c r="C161" s="20">
        <f t="shared" si="27"/>
        <v>1263948</v>
      </c>
      <c r="D161" s="20">
        <f t="shared" si="27"/>
        <v>-102</v>
      </c>
      <c r="E161" s="20">
        <f>SUM(E162)</f>
        <v>0</v>
      </c>
      <c r="F161" s="20">
        <f>SUM(F162)</f>
        <v>59898</v>
      </c>
      <c r="G161" s="20">
        <f t="shared" si="28"/>
        <v>59898</v>
      </c>
      <c r="H161" s="20">
        <f>SUM(H162)</f>
        <v>0</v>
      </c>
      <c r="I161" s="20">
        <f>SUM(I162)</f>
        <v>0</v>
      </c>
      <c r="J161" s="20">
        <f t="shared" si="29"/>
        <v>0</v>
      </c>
      <c r="K161" s="20">
        <f>SUM(K162)</f>
        <v>218050</v>
      </c>
      <c r="L161" s="20">
        <f>SUM(L162)</f>
        <v>158050</v>
      </c>
      <c r="M161" s="20">
        <f t="shared" si="30"/>
        <v>-60000</v>
      </c>
      <c r="N161" s="20">
        <f>SUM(N162)</f>
        <v>0</v>
      </c>
      <c r="O161" s="20">
        <f>SUM(O162)</f>
        <v>0</v>
      </c>
      <c r="P161" s="20">
        <f t="shared" si="31"/>
        <v>0</v>
      </c>
      <c r="Q161" s="20">
        <f>SUM(Q162)</f>
        <v>446000</v>
      </c>
      <c r="R161" s="20">
        <f>SUM(R162)</f>
        <v>446000</v>
      </c>
      <c r="S161" s="20">
        <f t="shared" si="32"/>
        <v>0</v>
      </c>
      <c r="T161" s="20">
        <f>SUM(T162)</f>
        <v>9000</v>
      </c>
      <c r="U161" s="20">
        <f>SUM(U162)</f>
        <v>9000</v>
      </c>
      <c r="V161" s="20">
        <f t="shared" si="33"/>
        <v>0</v>
      </c>
      <c r="W161" s="20">
        <f>SUM(W162)</f>
        <v>0</v>
      </c>
      <c r="X161" s="20">
        <f>SUM(X162)</f>
        <v>0</v>
      </c>
      <c r="Y161" s="20">
        <f t="shared" si="34"/>
        <v>0</v>
      </c>
      <c r="Z161" s="20">
        <f>SUM(Z162)</f>
        <v>591000</v>
      </c>
      <c r="AA161" s="20">
        <f>SUM(AA162)</f>
        <v>591000</v>
      </c>
      <c r="AB161" s="20">
        <f t="shared" si="35"/>
        <v>0</v>
      </c>
    </row>
    <row r="162" spans="1:194" s="22" customFormat="1" x14ac:dyDescent="0.25">
      <c r="A162" s="19" t="s">
        <v>20</v>
      </c>
      <c r="B162" s="20">
        <f t="shared" si="27"/>
        <v>1264050</v>
      </c>
      <c r="C162" s="20">
        <f t="shared" si="27"/>
        <v>1263948</v>
      </c>
      <c r="D162" s="20">
        <f t="shared" si="27"/>
        <v>-102</v>
      </c>
      <c r="E162" s="20">
        <f>SUM(E163:E175)</f>
        <v>0</v>
      </c>
      <c r="F162" s="20">
        <f>SUM(F163:F175)</f>
        <v>59898</v>
      </c>
      <c r="G162" s="20">
        <f t="shared" si="28"/>
        <v>59898</v>
      </c>
      <c r="H162" s="20">
        <f>SUM(H163:H175)</f>
        <v>0</v>
      </c>
      <c r="I162" s="20">
        <f>SUM(I163:I175)</f>
        <v>0</v>
      </c>
      <c r="J162" s="20">
        <f t="shared" si="29"/>
        <v>0</v>
      </c>
      <c r="K162" s="20">
        <f>SUM(K163:K175)</f>
        <v>218050</v>
      </c>
      <c r="L162" s="20">
        <f>SUM(L163:L175)</f>
        <v>158050</v>
      </c>
      <c r="M162" s="20">
        <f t="shared" si="30"/>
        <v>-60000</v>
      </c>
      <c r="N162" s="20">
        <f>SUM(N163:N175)</f>
        <v>0</v>
      </c>
      <c r="O162" s="20">
        <f>SUM(O163:O175)</f>
        <v>0</v>
      </c>
      <c r="P162" s="20">
        <f t="shared" si="31"/>
        <v>0</v>
      </c>
      <c r="Q162" s="20">
        <f>SUM(Q163:Q175)</f>
        <v>446000</v>
      </c>
      <c r="R162" s="20">
        <f>SUM(R163:R175)</f>
        <v>446000</v>
      </c>
      <c r="S162" s="20">
        <f t="shared" si="32"/>
        <v>0</v>
      </c>
      <c r="T162" s="20">
        <f>SUM(T163:T175)</f>
        <v>9000</v>
      </c>
      <c r="U162" s="20">
        <f>SUM(U163:U175)</f>
        <v>9000</v>
      </c>
      <c r="V162" s="20">
        <f t="shared" si="33"/>
        <v>0</v>
      </c>
      <c r="W162" s="20">
        <f>SUM(W163:W175)</f>
        <v>0</v>
      </c>
      <c r="X162" s="20">
        <f>SUM(X163:X175)</f>
        <v>0</v>
      </c>
      <c r="Y162" s="20">
        <f t="shared" si="34"/>
        <v>0</v>
      </c>
      <c r="Z162" s="20">
        <f>SUM(Z163:Z175)</f>
        <v>591000</v>
      </c>
      <c r="AA162" s="20">
        <f>SUM(AA163:AA175)</f>
        <v>591000</v>
      </c>
      <c r="AB162" s="20">
        <f t="shared" si="35"/>
        <v>0</v>
      </c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  <c r="GI162" s="21"/>
      <c r="GJ162" s="21"/>
      <c r="GK162" s="21"/>
      <c r="GL162" s="21"/>
    </row>
    <row r="163" spans="1:194" s="22" customFormat="1" x14ac:dyDescent="0.25">
      <c r="A163" s="32" t="s">
        <v>149</v>
      </c>
      <c r="B163" s="28">
        <f t="shared" si="27"/>
        <v>500000</v>
      </c>
      <c r="C163" s="28">
        <f t="shared" si="27"/>
        <v>500000</v>
      </c>
      <c r="D163" s="28">
        <f t="shared" si="27"/>
        <v>0</v>
      </c>
      <c r="E163" s="28"/>
      <c r="F163" s="28"/>
      <c r="G163" s="28">
        <f t="shared" si="28"/>
        <v>0</v>
      </c>
      <c r="H163" s="28"/>
      <c r="I163" s="28"/>
      <c r="J163" s="28">
        <f t="shared" si="29"/>
        <v>0</v>
      </c>
      <c r="K163" s="28"/>
      <c r="L163" s="28"/>
      <c r="M163" s="28">
        <f t="shared" si="30"/>
        <v>0</v>
      </c>
      <c r="N163" s="28"/>
      <c r="O163" s="28"/>
      <c r="P163" s="28">
        <f t="shared" si="31"/>
        <v>0</v>
      </c>
      <c r="Q163" s="28"/>
      <c r="R163" s="28"/>
      <c r="S163" s="28">
        <f t="shared" si="32"/>
        <v>0</v>
      </c>
      <c r="T163" s="28"/>
      <c r="U163" s="28"/>
      <c r="V163" s="28">
        <f t="shared" si="33"/>
        <v>0</v>
      </c>
      <c r="W163" s="28"/>
      <c r="X163" s="28"/>
      <c r="Y163" s="28">
        <f t="shared" si="34"/>
        <v>0</v>
      </c>
      <c r="Z163" s="28">
        <v>500000</v>
      </c>
      <c r="AA163" s="28">
        <v>500000</v>
      </c>
      <c r="AB163" s="28">
        <f t="shared" si="35"/>
        <v>0</v>
      </c>
    </row>
    <row r="164" spans="1:194" s="22" customFormat="1" x14ac:dyDescent="0.25">
      <c r="A164" s="32" t="s">
        <v>150</v>
      </c>
      <c r="B164" s="28">
        <f t="shared" si="27"/>
        <v>25000</v>
      </c>
      <c r="C164" s="28">
        <f t="shared" si="27"/>
        <v>25000</v>
      </c>
      <c r="D164" s="28">
        <f t="shared" si="27"/>
        <v>0</v>
      </c>
      <c r="E164" s="28"/>
      <c r="F164" s="28"/>
      <c r="G164" s="28">
        <f t="shared" si="28"/>
        <v>0</v>
      </c>
      <c r="H164" s="28"/>
      <c r="I164" s="28"/>
      <c r="J164" s="28">
        <f t="shared" si="29"/>
        <v>0</v>
      </c>
      <c r="K164" s="28"/>
      <c r="L164" s="28"/>
      <c r="M164" s="28">
        <f t="shared" si="30"/>
        <v>0</v>
      </c>
      <c r="N164" s="28"/>
      <c r="O164" s="28"/>
      <c r="P164" s="28">
        <f t="shared" si="31"/>
        <v>0</v>
      </c>
      <c r="Q164" s="28"/>
      <c r="R164" s="28"/>
      <c r="S164" s="28">
        <f t="shared" si="32"/>
        <v>0</v>
      </c>
      <c r="T164" s="28"/>
      <c r="U164" s="28"/>
      <c r="V164" s="28">
        <f t="shared" si="33"/>
        <v>0</v>
      </c>
      <c r="W164" s="28"/>
      <c r="X164" s="28"/>
      <c r="Y164" s="28">
        <f t="shared" si="34"/>
        <v>0</v>
      </c>
      <c r="Z164" s="28">
        <v>25000</v>
      </c>
      <c r="AA164" s="28">
        <v>25000</v>
      </c>
      <c r="AB164" s="28">
        <f t="shared" si="35"/>
        <v>0</v>
      </c>
    </row>
    <row r="165" spans="1:194" s="22" customFormat="1" ht="31.5" x14ac:dyDescent="0.25">
      <c r="A165" s="32" t="s">
        <v>151</v>
      </c>
      <c r="B165" s="28">
        <f t="shared" si="27"/>
        <v>9000</v>
      </c>
      <c r="C165" s="28">
        <f t="shared" si="27"/>
        <v>9000</v>
      </c>
      <c r="D165" s="28">
        <f t="shared" si="27"/>
        <v>0</v>
      </c>
      <c r="E165" s="28"/>
      <c r="F165" s="28"/>
      <c r="G165" s="28">
        <f t="shared" si="28"/>
        <v>0</v>
      </c>
      <c r="H165" s="28"/>
      <c r="I165" s="28"/>
      <c r="J165" s="28">
        <f t="shared" si="29"/>
        <v>0</v>
      </c>
      <c r="K165" s="28"/>
      <c r="L165" s="28"/>
      <c r="M165" s="28">
        <f t="shared" si="30"/>
        <v>0</v>
      </c>
      <c r="N165" s="28"/>
      <c r="O165" s="28"/>
      <c r="P165" s="28">
        <f t="shared" si="31"/>
        <v>0</v>
      </c>
      <c r="Q165" s="28"/>
      <c r="R165" s="28"/>
      <c r="S165" s="28">
        <f t="shared" si="32"/>
        <v>0</v>
      </c>
      <c r="T165" s="28">
        <v>9000</v>
      </c>
      <c r="U165" s="28">
        <v>9000</v>
      </c>
      <c r="V165" s="28">
        <f t="shared" si="33"/>
        <v>0</v>
      </c>
      <c r="W165" s="28"/>
      <c r="X165" s="28"/>
      <c r="Y165" s="28">
        <f t="shared" si="34"/>
        <v>0</v>
      </c>
      <c r="Z165" s="28"/>
      <c r="AA165" s="28"/>
      <c r="AB165" s="28">
        <f t="shared" si="35"/>
        <v>0</v>
      </c>
    </row>
    <row r="166" spans="1:194" s="22" customFormat="1" x14ac:dyDescent="0.25">
      <c r="A166" s="32" t="s">
        <v>152</v>
      </c>
      <c r="B166" s="28">
        <f t="shared" si="27"/>
        <v>60000</v>
      </c>
      <c r="C166" s="28">
        <f t="shared" si="27"/>
        <v>59898</v>
      </c>
      <c r="D166" s="28">
        <f t="shared" si="27"/>
        <v>-102</v>
      </c>
      <c r="E166" s="28">
        <f>0</f>
        <v>0</v>
      </c>
      <c r="F166" s="28">
        <f>59898</f>
        <v>59898</v>
      </c>
      <c r="G166" s="28">
        <f t="shared" si="28"/>
        <v>59898</v>
      </c>
      <c r="H166" s="28"/>
      <c r="I166" s="28"/>
      <c r="J166" s="28">
        <f t="shared" si="29"/>
        <v>0</v>
      </c>
      <c r="K166" s="28">
        <v>60000</v>
      </c>
      <c r="L166" s="28">
        <f>60000-60000</f>
        <v>0</v>
      </c>
      <c r="M166" s="28">
        <f t="shared" si="30"/>
        <v>-60000</v>
      </c>
      <c r="N166" s="28"/>
      <c r="O166" s="28"/>
      <c r="P166" s="28">
        <f t="shared" si="31"/>
        <v>0</v>
      </c>
      <c r="Q166" s="28"/>
      <c r="R166" s="28"/>
      <c r="S166" s="28">
        <f t="shared" si="32"/>
        <v>0</v>
      </c>
      <c r="T166" s="28"/>
      <c r="U166" s="28"/>
      <c r="V166" s="28">
        <f t="shared" si="33"/>
        <v>0</v>
      </c>
      <c r="W166" s="28"/>
      <c r="X166" s="28"/>
      <c r="Y166" s="28">
        <f t="shared" si="34"/>
        <v>0</v>
      </c>
      <c r="Z166" s="28"/>
      <c r="AA166" s="28"/>
      <c r="AB166" s="28">
        <f t="shared" si="35"/>
        <v>0</v>
      </c>
    </row>
    <row r="167" spans="1:194" s="22" customFormat="1" ht="31.5" x14ac:dyDescent="0.25">
      <c r="A167" s="36" t="s">
        <v>153</v>
      </c>
      <c r="B167" s="28">
        <f t="shared" si="27"/>
        <v>57000</v>
      </c>
      <c r="C167" s="28">
        <f t="shared" si="27"/>
        <v>57000</v>
      </c>
      <c r="D167" s="28">
        <f t="shared" si="27"/>
        <v>0</v>
      </c>
      <c r="E167" s="28"/>
      <c r="F167" s="28"/>
      <c r="G167" s="28">
        <f t="shared" si="28"/>
        <v>0</v>
      </c>
      <c r="H167" s="28"/>
      <c r="I167" s="28"/>
      <c r="J167" s="28">
        <f t="shared" si="29"/>
        <v>0</v>
      </c>
      <c r="K167" s="28">
        <v>57000</v>
      </c>
      <c r="L167" s="28">
        <v>57000</v>
      </c>
      <c r="M167" s="28">
        <f t="shared" si="30"/>
        <v>0</v>
      </c>
      <c r="N167" s="28"/>
      <c r="O167" s="28"/>
      <c r="P167" s="28">
        <f t="shared" si="31"/>
        <v>0</v>
      </c>
      <c r="Q167" s="28"/>
      <c r="R167" s="28"/>
      <c r="S167" s="28">
        <f t="shared" si="32"/>
        <v>0</v>
      </c>
      <c r="T167" s="28"/>
      <c r="U167" s="28"/>
      <c r="V167" s="28">
        <f t="shared" si="33"/>
        <v>0</v>
      </c>
      <c r="W167" s="28"/>
      <c r="X167" s="28"/>
      <c r="Y167" s="28">
        <f t="shared" si="34"/>
        <v>0</v>
      </c>
      <c r="Z167" s="28"/>
      <c r="AA167" s="28"/>
      <c r="AB167" s="28">
        <f t="shared" si="35"/>
        <v>0</v>
      </c>
    </row>
    <row r="168" spans="1:194" s="22" customFormat="1" ht="31.5" x14ac:dyDescent="0.25">
      <c r="A168" s="36" t="s">
        <v>154</v>
      </c>
      <c r="B168" s="28">
        <f t="shared" si="27"/>
        <v>446000</v>
      </c>
      <c r="C168" s="28">
        <f t="shared" si="27"/>
        <v>446000</v>
      </c>
      <c r="D168" s="28">
        <f t="shared" si="27"/>
        <v>0</v>
      </c>
      <c r="E168" s="28"/>
      <c r="F168" s="28"/>
      <c r="G168" s="28">
        <f t="shared" si="28"/>
        <v>0</v>
      </c>
      <c r="H168" s="28"/>
      <c r="I168" s="28"/>
      <c r="J168" s="28">
        <f t="shared" si="29"/>
        <v>0</v>
      </c>
      <c r="K168" s="28"/>
      <c r="L168" s="28"/>
      <c r="M168" s="28">
        <f t="shared" si="30"/>
        <v>0</v>
      </c>
      <c r="N168" s="28"/>
      <c r="O168" s="28"/>
      <c r="P168" s="28">
        <f t="shared" si="31"/>
        <v>0</v>
      </c>
      <c r="Q168" s="28">
        <v>446000</v>
      </c>
      <c r="R168" s="28">
        <v>446000</v>
      </c>
      <c r="S168" s="28">
        <f t="shared" si="32"/>
        <v>0</v>
      </c>
      <c r="T168" s="28"/>
      <c r="U168" s="28"/>
      <c r="V168" s="28">
        <f t="shared" si="33"/>
        <v>0</v>
      </c>
      <c r="W168" s="28"/>
      <c r="X168" s="28"/>
      <c r="Y168" s="28">
        <f t="shared" si="34"/>
        <v>0</v>
      </c>
      <c r="Z168" s="28"/>
      <c r="AA168" s="28"/>
      <c r="AB168" s="28">
        <f t="shared" si="35"/>
        <v>0</v>
      </c>
    </row>
    <row r="169" spans="1:194" s="22" customFormat="1" x14ac:dyDescent="0.25">
      <c r="A169" s="36" t="s">
        <v>155</v>
      </c>
      <c r="B169" s="28">
        <f t="shared" si="27"/>
        <v>11700</v>
      </c>
      <c r="C169" s="28">
        <f t="shared" si="27"/>
        <v>11700</v>
      </c>
      <c r="D169" s="28">
        <f t="shared" si="27"/>
        <v>0</v>
      </c>
      <c r="E169" s="28"/>
      <c r="F169" s="28"/>
      <c r="G169" s="28">
        <f t="shared" si="28"/>
        <v>0</v>
      </c>
      <c r="H169" s="28"/>
      <c r="I169" s="28"/>
      <c r="J169" s="28">
        <f t="shared" si="29"/>
        <v>0</v>
      </c>
      <c r="K169" s="28">
        <v>11700</v>
      </c>
      <c r="L169" s="28">
        <v>11700</v>
      </c>
      <c r="M169" s="28">
        <f t="shared" si="30"/>
        <v>0</v>
      </c>
      <c r="N169" s="28"/>
      <c r="O169" s="28"/>
      <c r="P169" s="28">
        <f t="shared" si="31"/>
        <v>0</v>
      </c>
      <c r="Q169" s="28"/>
      <c r="R169" s="28"/>
      <c r="S169" s="28">
        <f t="shared" si="32"/>
        <v>0</v>
      </c>
      <c r="T169" s="28"/>
      <c r="U169" s="28"/>
      <c r="V169" s="28">
        <f t="shared" si="33"/>
        <v>0</v>
      </c>
      <c r="W169" s="28"/>
      <c r="X169" s="28"/>
      <c r="Y169" s="28">
        <f t="shared" si="34"/>
        <v>0</v>
      </c>
      <c r="Z169" s="28"/>
      <c r="AA169" s="28"/>
      <c r="AB169" s="28">
        <f t="shared" si="35"/>
        <v>0</v>
      </c>
    </row>
    <row r="170" spans="1:194" s="22" customFormat="1" x14ac:dyDescent="0.25">
      <c r="A170" s="30" t="s">
        <v>156</v>
      </c>
      <c r="B170" s="28">
        <f t="shared" si="27"/>
        <v>17000</v>
      </c>
      <c r="C170" s="28">
        <f t="shared" si="27"/>
        <v>17000</v>
      </c>
      <c r="D170" s="28">
        <f t="shared" si="27"/>
        <v>0</v>
      </c>
      <c r="E170" s="28"/>
      <c r="F170" s="28"/>
      <c r="G170" s="28">
        <f t="shared" si="28"/>
        <v>0</v>
      </c>
      <c r="H170" s="28"/>
      <c r="I170" s="28"/>
      <c r="J170" s="28">
        <f t="shared" si="29"/>
        <v>0</v>
      </c>
      <c r="K170" s="28">
        <v>17000</v>
      </c>
      <c r="L170" s="28">
        <v>17000</v>
      </c>
      <c r="M170" s="28">
        <f t="shared" si="30"/>
        <v>0</v>
      </c>
      <c r="N170" s="28"/>
      <c r="O170" s="28"/>
      <c r="P170" s="28">
        <f t="shared" si="31"/>
        <v>0</v>
      </c>
      <c r="Q170" s="28"/>
      <c r="R170" s="28"/>
      <c r="S170" s="28">
        <f t="shared" si="32"/>
        <v>0</v>
      </c>
      <c r="T170" s="28"/>
      <c r="U170" s="28"/>
      <c r="V170" s="28">
        <f t="shared" si="33"/>
        <v>0</v>
      </c>
      <c r="W170" s="28"/>
      <c r="X170" s="28"/>
      <c r="Y170" s="28">
        <f t="shared" si="34"/>
        <v>0</v>
      </c>
      <c r="Z170" s="28"/>
      <c r="AA170" s="28"/>
      <c r="AB170" s="28">
        <f t="shared" si="35"/>
        <v>0</v>
      </c>
    </row>
    <row r="171" spans="1:194" s="22" customFormat="1" ht="31.5" x14ac:dyDescent="0.25">
      <c r="A171" s="30" t="s">
        <v>157</v>
      </c>
      <c r="B171" s="28">
        <f t="shared" si="27"/>
        <v>13986</v>
      </c>
      <c r="C171" s="28">
        <f t="shared" si="27"/>
        <v>13986</v>
      </c>
      <c r="D171" s="28">
        <f t="shared" si="27"/>
        <v>0</v>
      </c>
      <c r="E171" s="28"/>
      <c r="F171" s="28"/>
      <c r="G171" s="28">
        <f t="shared" si="28"/>
        <v>0</v>
      </c>
      <c r="H171" s="28"/>
      <c r="I171" s="28"/>
      <c r="J171" s="28">
        <f t="shared" si="29"/>
        <v>0</v>
      </c>
      <c r="K171" s="28">
        <v>13986</v>
      </c>
      <c r="L171" s="28">
        <v>13986</v>
      </c>
      <c r="M171" s="28">
        <f t="shared" si="30"/>
        <v>0</v>
      </c>
      <c r="N171" s="28"/>
      <c r="O171" s="28"/>
      <c r="P171" s="28">
        <f t="shared" si="31"/>
        <v>0</v>
      </c>
      <c r="Q171" s="28"/>
      <c r="R171" s="28"/>
      <c r="S171" s="28">
        <f t="shared" si="32"/>
        <v>0</v>
      </c>
      <c r="T171" s="28"/>
      <c r="U171" s="28"/>
      <c r="V171" s="28">
        <f t="shared" si="33"/>
        <v>0</v>
      </c>
      <c r="W171" s="28"/>
      <c r="X171" s="28"/>
      <c r="Y171" s="28">
        <f t="shared" si="34"/>
        <v>0</v>
      </c>
      <c r="Z171" s="28"/>
      <c r="AA171" s="28"/>
      <c r="AB171" s="28">
        <f t="shared" si="35"/>
        <v>0</v>
      </c>
    </row>
    <row r="172" spans="1:194" s="22" customFormat="1" x14ac:dyDescent="0.25">
      <c r="A172" s="30" t="s">
        <v>158</v>
      </c>
      <c r="B172" s="28">
        <f t="shared" si="27"/>
        <v>13972</v>
      </c>
      <c r="C172" s="28">
        <f t="shared" si="27"/>
        <v>13972</v>
      </c>
      <c r="D172" s="28">
        <f t="shared" si="27"/>
        <v>0</v>
      </c>
      <c r="E172" s="28"/>
      <c r="F172" s="28"/>
      <c r="G172" s="28">
        <f t="shared" si="28"/>
        <v>0</v>
      </c>
      <c r="H172" s="28"/>
      <c r="I172" s="28"/>
      <c r="J172" s="28">
        <f t="shared" si="29"/>
        <v>0</v>
      </c>
      <c r="K172" s="28">
        <v>13972</v>
      </c>
      <c r="L172" s="28">
        <v>13972</v>
      </c>
      <c r="M172" s="28">
        <f t="shared" si="30"/>
        <v>0</v>
      </c>
      <c r="N172" s="28"/>
      <c r="O172" s="28"/>
      <c r="P172" s="28">
        <f t="shared" si="31"/>
        <v>0</v>
      </c>
      <c r="Q172" s="28"/>
      <c r="R172" s="28"/>
      <c r="S172" s="28">
        <f t="shared" si="32"/>
        <v>0</v>
      </c>
      <c r="T172" s="28"/>
      <c r="U172" s="28"/>
      <c r="V172" s="28">
        <f t="shared" si="33"/>
        <v>0</v>
      </c>
      <c r="W172" s="28"/>
      <c r="X172" s="28"/>
      <c r="Y172" s="28">
        <f t="shared" si="34"/>
        <v>0</v>
      </c>
      <c r="Z172" s="28"/>
      <c r="AA172" s="28"/>
      <c r="AB172" s="28">
        <f t="shared" si="35"/>
        <v>0</v>
      </c>
    </row>
    <row r="173" spans="1:194" s="22" customFormat="1" x14ac:dyDescent="0.25">
      <c r="A173" s="30" t="s">
        <v>159</v>
      </c>
      <c r="B173" s="28">
        <f t="shared" si="27"/>
        <v>8992</v>
      </c>
      <c r="C173" s="28">
        <f t="shared" si="27"/>
        <v>8992</v>
      </c>
      <c r="D173" s="28">
        <f t="shared" si="27"/>
        <v>0</v>
      </c>
      <c r="E173" s="28"/>
      <c r="F173" s="28"/>
      <c r="G173" s="28">
        <f t="shared" si="28"/>
        <v>0</v>
      </c>
      <c r="H173" s="28"/>
      <c r="I173" s="28"/>
      <c r="J173" s="28">
        <f t="shared" si="29"/>
        <v>0</v>
      </c>
      <c r="K173" s="28">
        <v>8992</v>
      </c>
      <c r="L173" s="28">
        <v>8992</v>
      </c>
      <c r="M173" s="28">
        <f t="shared" si="30"/>
        <v>0</v>
      </c>
      <c r="N173" s="28"/>
      <c r="O173" s="28"/>
      <c r="P173" s="28">
        <f t="shared" si="31"/>
        <v>0</v>
      </c>
      <c r="Q173" s="28"/>
      <c r="R173" s="28"/>
      <c r="S173" s="28">
        <f t="shared" si="32"/>
        <v>0</v>
      </c>
      <c r="T173" s="28"/>
      <c r="U173" s="28"/>
      <c r="V173" s="28">
        <f t="shared" si="33"/>
        <v>0</v>
      </c>
      <c r="W173" s="28"/>
      <c r="X173" s="28"/>
      <c r="Y173" s="28">
        <f t="shared" si="34"/>
        <v>0</v>
      </c>
      <c r="Z173" s="28"/>
      <c r="AA173" s="28"/>
      <c r="AB173" s="28">
        <f t="shared" si="35"/>
        <v>0</v>
      </c>
    </row>
    <row r="174" spans="1:194" s="22" customFormat="1" ht="31.5" x14ac:dyDescent="0.25">
      <c r="A174" s="36" t="s">
        <v>160</v>
      </c>
      <c r="B174" s="28">
        <f t="shared" si="27"/>
        <v>66000</v>
      </c>
      <c r="C174" s="28">
        <f t="shared" si="27"/>
        <v>66000</v>
      </c>
      <c r="D174" s="28">
        <f t="shared" si="27"/>
        <v>0</v>
      </c>
      <c r="E174" s="28"/>
      <c r="F174" s="28"/>
      <c r="G174" s="28">
        <f t="shared" si="28"/>
        <v>0</v>
      </c>
      <c r="H174" s="28"/>
      <c r="I174" s="28"/>
      <c r="J174" s="28">
        <f t="shared" si="29"/>
        <v>0</v>
      </c>
      <c r="K174" s="28"/>
      <c r="L174" s="28"/>
      <c r="M174" s="28">
        <f t="shared" si="30"/>
        <v>0</v>
      </c>
      <c r="N174" s="28"/>
      <c r="O174" s="28"/>
      <c r="P174" s="28">
        <f t="shared" si="31"/>
        <v>0</v>
      </c>
      <c r="Q174" s="28"/>
      <c r="R174" s="28"/>
      <c r="S174" s="28">
        <f t="shared" si="32"/>
        <v>0</v>
      </c>
      <c r="T174" s="28"/>
      <c r="U174" s="28"/>
      <c r="V174" s="28">
        <f t="shared" si="33"/>
        <v>0</v>
      </c>
      <c r="W174" s="28"/>
      <c r="X174" s="28"/>
      <c r="Y174" s="28">
        <f t="shared" si="34"/>
        <v>0</v>
      </c>
      <c r="Z174" s="28">
        <f>10000+32000+24000</f>
        <v>66000</v>
      </c>
      <c r="AA174" s="28">
        <f>10000+32000+24000</f>
        <v>66000</v>
      </c>
      <c r="AB174" s="28">
        <f t="shared" si="35"/>
        <v>0</v>
      </c>
    </row>
    <row r="175" spans="1:194" s="22" customFormat="1" ht="47.25" x14ac:dyDescent="0.25">
      <c r="A175" s="36" t="s">
        <v>161</v>
      </c>
      <c r="B175" s="28">
        <f t="shared" si="27"/>
        <v>35400</v>
      </c>
      <c r="C175" s="28">
        <f t="shared" si="27"/>
        <v>35400</v>
      </c>
      <c r="D175" s="28">
        <f t="shared" si="27"/>
        <v>0</v>
      </c>
      <c r="E175" s="28"/>
      <c r="F175" s="28"/>
      <c r="G175" s="28">
        <f t="shared" si="28"/>
        <v>0</v>
      </c>
      <c r="H175" s="28"/>
      <c r="I175" s="28"/>
      <c r="J175" s="28">
        <f t="shared" si="29"/>
        <v>0</v>
      </c>
      <c r="K175" s="28">
        <v>35400</v>
      </c>
      <c r="L175" s="28">
        <v>35400</v>
      </c>
      <c r="M175" s="28">
        <f t="shared" si="30"/>
        <v>0</v>
      </c>
      <c r="N175" s="28"/>
      <c r="O175" s="28"/>
      <c r="P175" s="28">
        <f t="shared" si="31"/>
        <v>0</v>
      </c>
      <c r="Q175" s="28"/>
      <c r="R175" s="28"/>
      <c r="S175" s="28">
        <f t="shared" si="32"/>
        <v>0</v>
      </c>
      <c r="T175" s="28"/>
      <c r="U175" s="28"/>
      <c r="V175" s="28">
        <f t="shared" si="33"/>
        <v>0</v>
      </c>
      <c r="W175" s="28"/>
      <c r="X175" s="28"/>
      <c r="Y175" s="28">
        <f t="shared" si="34"/>
        <v>0</v>
      </c>
      <c r="Z175" s="28"/>
      <c r="AA175" s="28"/>
      <c r="AB175" s="28">
        <f t="shared" si="35"/>
        <v>0</v>
      </c>
    </row>
    <row r="176" spans="1:194" s="22" customFormat="1" x14ac:dyDescent="0.25">
      <c r="A176" s="19" t="s">
        <v>162</v>
      </c>
      <c r="B176" s="20">
        <f t="shared" si="27"/>
        <v>2412645</v>
      </c>
      <c r="C176" s="20">
        <f t="shared" si="27"/>
        <v>2512645</v>
      </c>
      <c r="D176" s="20">
        <f t="shared" si="27"/>
        <v>100000</v>
      </c>
      <c r="E176" s="20">
        <f>SUM(E177)</f>
        <v>450000</v>
      </c>
      <c r="F176" s="20">
        <f>SUM(F177)</f>
        <v>550000</v>
      </c>
      <c r="G176" s="20">
        <f t="shared" si="28"/>
        <v>100000</v>
      </c>
      <c r="H176" s="20">
        <f>SUM(H177)</f>
        <v>0</v>
      </c>
      <c r="I176" s="20">
        <f>SUM(I177)</f>
        <v>0</v>
      </c>
      <c r="J176" s="20">
        <f t="shared" si="29"/>
        <v>0</v>
      </c>
      <c r="K176" s="20">
        <f>SUM(K177)</f>
        <v>0</v>
      </c>
      <c r="L176" s="20">
        <f>SUM(L177)</f>
        <v>0</v>
      </c>
      <c r="M176" s="20">
        <f t="shared" si="30"/>
        <v>0</v>
      </c>
      <c r="N176" s="20">
        <f>SUM(N177)</f>
        <v>0</v>
      </c>
      <c r="O176" s="20">
        <f>SUM(O177)</f>
        <v>0</v>
      </c>
      <c r="P176" s="20">
        <f t="shared" si="31"/>
        <v>0</v>
      </c>
      <c r="Q176" s="20">
        <f>SUM(Q177)</f>
        <v>933822</v>
      </c>
      <c r="R176" s="20">
        <f>SUM(R177)</f>
        <v>933822</v>
      </c>
      <c r="S176" s="20">
        <f t="shared" si="32"/>
        <v>0</v>
      </c>
      <c r="T176" s="20">
        <f>SUM(T177)</f>
        <v>0</v>
      </c>
      <c r="U176" s="20">
        <f>SUM(U177)</f>
        <v>0</v>
      </c>
      <c r="V176" s="20">
        <f t="shared" si="33"/>
        <v>0</v>
      </c>
      <c r="W176" s="20">
        <f>SUM(W177)</f>
        <v>0</v>
      </c>
      <c r="X176" s="20">
        <f>SUM(X177)</f>
        <v>0</v>
      </c>
      <c r="Y176" s="20">
        <f t="shared" si="34"/>
        <v>0</v>
      </c>
      <c r="Z176" s="20">
        <f>SUM(Z177)</f>
        <v>1028823</v>
      </c>
      <c r="AA176" s="20">
        <f>SUM(AA177)</f>
        <v>1028823</v>
      </c>
      <c r="AB176" s="20">
        <f t="shared" si="35"/>
        <v>0</v>
      </c>
    </row>
    <row r="177" spans="1:194" s="22" customFormat="1" x14ac:dyDescent="0.25">
      <c r="A177" s="19" t="s">
        <v>20</v>
      </c>
      <c r="B177" s="20">
        <f t="shared" si="27"/>
        <v>2412645</v>
      </c>
      <c r="C177" s="20">
        <f t="shared" si="27"/>
        <v>2512645</v>
      </c>
      <c r="D177" s="20">
        <f t="shared" si="27"/>
        <v>100000</v>
      </c>
      <c r="E177" s="20">
        <f>SUM(E178:E181)</f>
        <v>450000</v>
      </c>
      <c r="F177" s="20">
        <f>SUM(F178:F181)</f>
        <v>550000</v>
      </c>
      <c r="G177" s="20">
        <f t="shared" si="28"/>
        <v>100000</v>
      </c>
      <c r="H177" s="20">
        <f>SUM(H178:H181)</f>
        <v>0</v>
      </c>
      <c r="I177" s="20">
        <f>SUM(I178:I181)</f>
        <v>0</v>
      </c>
      <c r="J177" s="20">
        <f t="shared" si="29"/>
        <v>0</v>
      </c>
      <c r="K177" s="20">
        <f>SUM(K178:K181)</f>
        <v>0</v>
      </c>
      <c r="L177" s="20">
        <f>SUM(L178:L181)</f>
        <v>0</v>
      </c>
      <c r="M177" s="20">
        <f t="shared" si="30"/>
        <v>0</v>
      </c>
      <c r="N177" s="20">
        <f>SUM(N178:N181)</f>
        <v>0</v>
      </c>
      <c r="O177" s="20">
        <f>SUM(O178:O181)</f>
        <v>0</v>
      </c>
      <c r="P177" s="20">
        <f t="shared" si="31"/>
        <v>0</v>
      </c>
      <c r="Q177" s="20">
        <f>SUM(Q178:Q181)</f>
        <v>933822</v>
      </c>
      <c r="R177" s="20">
        <f>SUM(R178:R181)</f>
        <v>933822</v>
      </c>
      <c r="S177" s="20">
        <f t="shared" si="32"/>
        <v>0</v>
      </c>
      <c r="T177" s="20">
        <f>SUM(T178:T181)</f>
        <v>0</v>
      </c>
      <c r="U177" s="20">
        <f>SUM(U178:U181)</f>
        <v>0</v>
      </c>
      <c r="V177" s="20">
        <f t="shared" si="33"/>
        <v>0</v>
      </c>
      <c r="W177" s="20">
        <f>SUM(W178:W181)</f>
        <v>0</v>
      </c>
      <c r="X177" s="20">
        <f>SUM(X178:X181)</f>
        <v>0</v>
      </c>
      <c r="Y177" s="20">
        <f t="shared" si="34"/>
        <v>0</v>
      </c>
      <c r="Z177" s="20">
        <f>SUM(Z178:Z181)</f>
        <v>1028823</v>
      </c>
      <c r="AA177" s="20">
        <f>SUM(AA178:AA181)</f>
        <v>1028823</v>
      </c>
      <c r="AB177" s="20">
        <f t="shared" si="35"/>
        <v>0</v>
      </c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  <c r="GI177" s="21"/>
      <c r="GJ177" s="21"/>
      <c r="GK177" s="21"/>
      <c r="GL177" s="21"/>
    </row>
    <row r="178" spans="1:194" s="22" customFormat="1" ht="54.75" customHeight="1" x14ac:dyDescent="0.25">
      <c r="A178" s="27" t="s">
        <v>163</v>
      </c>
      <c r="B178" s="28">
        <f t="shared" si="27"/>
        <v>933822</v>
      </c>
      <c r="C178" s="28">
        <f t="shared" si="27"/>
        <v>933822</v>
      </c>
      <c r="D178" s="28">
        <f t="shared" si="27"/>
        <v>0</v>
      </c>
      <c r="E178" s="28"/>
      <c r="F178" s="28"/>
      <c r="G178" s="28">
        <f t="shared" si="28"/>
        <v>0</v>
      </c>
      <c r="H178" s="28"/>
      <c r="I178" s="28"/>
      <c r="J178" s="28">
        <f t="shared" si="29"/>
        <v>0</v>
      </c>
      <c r="K178" s="28"/>
      <c r="L178" s="28"/>
      <c r="M178" s="28">
        <f t="shared" si="30"/>
        <v>0</v>
      </c>
      <c r="N178" s="28"/>
      <c r="O178" s="28"/>
      <c r="P178" s="28">
        <f t="shared" si="31"/>
        <v>0</v>
      </c>
      <c r="Q178" s="28">
        <f>1241121-569613+316020-53706</f>
        <v>933822</v>
      </c>
      <c r="R178" s="28">
        <f>1241121-569613+316020-53706</f>
        <v>933822</v>
      </c>
      <c r="S178" s="28">
        <f t="shared" si="32"/>
        <v>0</v>
      </c>
      <c r="T178" s="28"/>
      <c r="U178" s="28"/>
      <c r="V178" s="28">
        <f t="shared" si="33"/>
        <v>0</v>
      </c>
      <c r="W178" s="28"/>
      <c r="X178" s="28"/>
      <c r="Y178" s="28">
        <f t="shared" si="34"/>
        <v>0</v>
      </c>
      <c r="Z178" s="28"/>
      <c r="AA178" s="28"/>
      <c r="AB178" s="28">
        <f t="shared" si="35"/>
        <v>0</v>
      </c>
      <c r="FS178" s="21"/>
      <c r="FT178" s="21"/>
      <c r="FU178" s="21"/>
      <c r="FV178" s="21"/>
      <c r="FW178" s="21"/>
      <c r="FX178" s="21"/>
      <c r="FY178" s="21"/>
      <c r="FZ178" s="21"/>
      <c r="GA178" s="21"/>
      <c r="GB178" s="21"/>
      <c r="GC178" s="21"/>
      <c r="GD178" s="21"/>
      <c r="GE178" s="21"/>
      <c r="GF178" s="21"/>
      <c r="GG178" s="21"/>
      <c r="GH178" s="21"/>
      <c r="GI178" s="21"/>
      <c r="GJ178" s="21"/>
      <c r="GK178" s="21"/>
      <c r="GL178" s="21"/>
    </row>
    <row r="179" spans="1:194" s="22" customFormat="1" ht="31.5" x14ac:dyDescent="0.25">
      <c r="A179" s="27" t="s">
        <v>164</v>
      </c>
      <c r="B179" s="28">
        <f t="shared" si="27"/>
        <v>1028823</v>
      </c>
      <c r="C179" s="28">
        <f t="shared" si="27"/>
        <v>1028823</v>
      </c>
      <c r="D179" s="28">
        <f t="shared" si="27"/>
        <v>0</v>
      </c>
      <c r="E179" s="28"/>
      <c r="F179" s="28"/>
      <c r="G179" s="28">
        <f t="shared" si="28"/>
        <v>0</v>
      </c>
      <c r="H179" s="28"/>
      <c r="I179" s="28"/>
      <c r="J179" s="28">
        <f t="shared" si="29"/>
        <v>0</v>
      </c>
      <c r="K179" s="28"/>
      <c r="L179" s="28"/>
      <c r="M179" s="28">
        <f t="shared" si="30"/>
        <v>0</v>
      </c>
      <c r="N179" s="28"/>
      <c r="O179" s="28"/>
      <c r="P179" s="28">
        <f t="shared" si="31"/>
        <v>0</v>
      </c>
      <c r="Q179" s="28"/>
      <c r="R179" s="28"/>
      <c r="S179" s="28">
        <f t="shared" si="32"/>
        <v>0</v>
      </c>
      <c r="T179" s="28"/>
      <c r="U179" s="28"/>
      <c r="V179" s="28">
        <f t="shared" si="33"/>
        <v>0</v>
      </c>
      <c r="W179" s="28"/>
      <c r="X179" s="28"/>
      <c r="Y179" s="28">
        <f t="shared" si="34"/>
        <v>0</v>
      </c>
      <c r="Z179" s="28">
        <v>1028823</v>
      </c>
      <c r="AA179" s="28">
        <v>1028823</v>
      </c>
      <c r="AB179" s="28">
        <f t="shared" si="35"/>
        <v>0</v>
      </c>
      <c r="FS179" s="21"/>
      <c r="FT179" s="21"/>
      <c r="FU179" s="21"/>
      <c r="FV179" s="21"/>
      <c r="FW179" s="21"/>
      <c r="FX179" s="21"/>
      <c r="FY179" s="21"/>
      <c r="FZ179" s="21"/>
      <c r="GA179" s="21"/>
      <c r="GB179" s="21"/>
      <c r="GC179" s="21"/>
      <c r="GD179" s="21"/>
      <c r="GE179" s="21"/>
      <c r="GF179" s="21"/>
      <c r="GG179" s="21"/>
      <c r="GH179" s="21"/>
      <c r="GI179" s="21"/>
      <c r="GJ179" s="21"/>
      <c r="GK179" s="21"/>
      <c r="GL179" s="21"/>
    </row>
    <row r="180" spans="1:194" s="21" customFormat="1" ht="47.25" x14ac:dyDescent="0.25">
      <c r="A180" s="32" t="s">
        <v>165</v>
      </c>
      <c r="B180" s="28">
        <f t="shared" si="27"/>
        <v>225000</v>
      </c>
      <c r="C180" s="28">
        <f t="shared" si="27"/>
        <v>225000</v>
      </c>
      <c r="D180" s="28">
        <f t="shared" si="27"/>
        <v>0</v>
      </c>
      <c r="E180" s="28">
        <f>225000-174091+174091</f>
        <v>225000</v>
      </c>
      <c r="F180" s="28">
        <f>225000-174091+174091</f>
        <v>225000</v>
      </c>
      <c r="G180" s="28">
        <f t="shared" si="28"/>
        <v>0</v>
      </c>
      <c r="H180" s="28"/>
      <c r="I180" s="28"/>
      <c r="J180" s="28">
        <f t="shared" si="29"/>
        <v>0</v>
      </c>
      <c r="K180" s="28"/>
      <c r="L180" s="28"/>
      <c r="M180" s="28">
        <f t="shared" si="30"/>
        <v>0</v>
      </c>
      <c r="N180" s="28"/>
      <c r="O180" s="28"/>
      <c r="P180" s="28">
        <f t="shared" si="31"/>
        <v>0</v>
      </c>
      <c r="Q180" s="28"/>
      <c r="R180" s="28"/>
      <c r="S180" s="28">
        <f t="shared" si="32"/>
        <v>0</v>
      </c>
      <c r="T180" s="28"/>
      <c r="U180" s="28"/>
      <c r="V180" s="28">
        <f t="shared" si="33"/>
        <v>0</v>
      </c>
      <c r="W180" s="28"/>
      <c r="X180" s="28"/>
      <c r="Y180" s="28">
        <f t="shared" si="34"/>
        <v>0</v>
      </c>
      <c r="Z180" s="28"/>
      <c r="AA180" s="28"/>
      <c r="AB180" s="28">
        <f t="shared" si="35"/>
        <v>0</v>
      </c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  <c r="EV180" s="22"/>
      <c r="EW180" s="22"/>
      <c r="EX180" s="22"/>
      <c r="EY180" s="22"/>
      <c r="EZ180" s="22"/>
      <c r="FA180" s="22"/>
      <c r="FB180" s="22"/>
      <c r="FC180" s="22"/>
      <c r="FD180" s="22"/>
      <c r="FE180" s="22"/>
      <c r="FF180" s="22"/>
      <c r="FG180" s="22"/>
      <c r="FH180" s="22"/>
      <c r="FI180" s="22"/>
      <c r="FJ180" s="22"/>
      <c r="FK180" s="22"/>
      <c r="FL180" s="22"/>
      <c r="FM180" s="22"/>
      <c r="FN180" s="22"/>
      <c r="FO180" s="22"/>
      <c r="FP180" s="22"/>
      <c r="FQ180" s="22"/>
      <c r="FR180" s="22"/>
      <c r="FS180" s="22"/>
      <c r="FT180" s="22"/>
      <c r="FU180" s="22"/>
      <c r="FV180" s="22"/>
      <c r="FW180" s="22"/>
      <c r="FX180" s="22"/>
      <c r="FY180" s="22"/>
      <c r="FZ180" s="22"/>
      <c r="GA180" s="22"/>
      <c r="GB180" s="22"/>
      <c r="GC180" s="22"/>
      <c r="GD180" s="22"/>
      <c r="GE180" s="22"/>
      <c r="GF180" s="22"/>
      <c r="GG180" s="22"/>
      <c r="GH180" s="22"/>
      <c r="GI180" s="22"/>
      <c r="GJ180" s="22"/>
      <c r="GK180" s="22"/>
      <c r="GL180" s="22"/>
    </row>
    <row r="181" spans="1:194" s="21" customFormat="1" ht="47.25" x14ac:dyDescent="0.25">
      <c r="A181" s="32" t="s">
        <v>166</v>
      </c>
      <c r="B181" s="28">
        <f t="shared" si="27"/>
        <v>225000</v>
      </c>
      <c r="C181" s="28">
        <f t="shared" si="27"/>
        <v>325000</v>
      </c>
      <c r="D181" s="28">
        <f t="shared" si="27"/>
        <v>100000</v>
      </c>
      <c r="E181" s="28">
        <f>225000-31109-10000+41109</f>
        <v>225000</v>
      </c>
      <c r="F181" s="28">
        <f>225000-31109-10000+41109+144589-44589</f>
        <v>325000</v>
      </c>
      <c r="G181" s="28">
        <f t="shared" si="28"/>
        <v>100000</v>
      </c>
      <c r="H181" s="28">
        <f>0</f>
        <v>0</v>
      </c>
      <c r="I181" s="28">
        <f>54456-54456</f>
        <v>0</v>
      </c>
      <c r="J181" s="28">
        <f t="shared" si="29"/>
        <v>0</v>
      </c>
      <c r="K181" s="28"/>
      <c r="L181" s="28"/>
      <c r="M181" s="28">
        <f t="shared" si="30"/>
        <v>0</v>
      </c>
      <c r="N181" s="28"/>
      <c r="O181" s="28"/>
      <c r="P181" s="28">
        <f t="shared" si="31"/>
        <v>0</v>
      </c>
      <c r="Q181" s="28"/>
      <c r="R181" s="28"/>
      <c r="S181" s="28">
        <f t="shared" si="32"/>
        <v>0</v>
      </c>
      <c r="T181" s="28"/>
      <c r="U181" s="28"/>
      <c r="V181" s="28">
        <f t="shared" si="33"/>
        <v>0</v>
      </c>
      <c r="W181" s="28"/>
      <c r="X181" s="28"/>
      <c r="Y181" s="28">
        <f t="shared" si="34"/>
        <v>0</v>
      </c>
      <c r="Z181" s="28">
        <f>0</f>
        <v>0</v>
      </c>
      <c r="AA181" s="28">
        <v>0</v>
      </c>
      <c r="AB181" s="28">
        <f t="shared" si="35"/>
        <v>0</v>
      </c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  <c r="EV181" s="22"/>
      <c r="EW181" s="22"/>
      <c r="EX181" s="22"/>
      <c r="EY181" s="22"/>
      <c r="EZ181" s="22"/>
      <c r="FA181" s="22"/>
      <c r="FB181" s="22"/>
      <c r="FC181" s="22"/>
      <c r="FD181" s="22"/>
      <c r="FE181" s="22"/>
      <c r="FF181" s="22"/>
      <c r="FG181" s="22"/>
      <c r="FH181" s="22"/>
      <c r="FI181" s="22"/>
      <c r="FJ181" s="22"/>
      <c r="FK181" s="22"/>
      <c r="FL181" s="22"/>
      <c r="FM181" s="22"/>
      <c r="FN181" s="22"/>
      <c r="FO181" s="22"/>
      <c r="FP181" s="22"/>
      <c r="FQ181" s="22"/>
      <c r="FR181" s="22"/>
      <c r="FS181" s="22"/>
      <c r="FT181" s="22"/>
      <c r="FU181" s="22"/>
      <c r="FV181" s="22"/>
      <c r="FW181" s="22"/>
      <c r="FX181" s="22"/>
      <c r="FY181" s="22"/>
      <c r="FZ181" s="22"/>
      <c r="GA181" s="22"/>
      <c r="GB181" s="22"/>
      <c r="GC181" s="22"/>
      <c r="GD181" s="22"/>
      <c r="GE181" s="22"/>
      <c r="GF181" s="22"/>
      <c r="GG181" s="22"/>
      <c r="GH181" s="22"/>
      <c r="GI181" s="22"/>
      <c r="GJ181" s="22"/>
      <c r="GK181" s="22"/>
      <c r="GL181" s="22"/>
    </row>
    <row r="182" spans="1:194" s="22" customFormat="1" x14ac:dyDescent="0.25">
      <c r="A182" s="19" t="s">
        <v>167</v>
      </c>
      <c r="B182" s="20">
        <f t="shared" si="27"/>
        <v>22360667</v>
      </c>
      <c r="C182" s="20">
        <f t="shared" si="27"/>
        <v>22229236</v>
      </c>
      <c r="D182" s="20">
        <f t="shared" si="27"/>
        <v>-131431</v>
      </c>
      <c r="E182" s="20">
        <f>SUM(E183,E202,E216,E270,E304,E366,E401,E257)</f>
        <v>1092300</v>
      </c>
      <c r="F182" s="20">
        <f>SUM(F183,F202,F216,F270,F304,F366,F401,F257)</f>
        <v>573875</v>
      </c>
      <c r="G182" s="20">
        <f t="shared" si="28"/>
        <v>-518425</v>
      </c>
      <c r="H182" s="20">
        <f>SUM(H183,H202,H216,H270,H304,H366,H401,H257)</f>
        <v>13320</v>
      </c>
      <c r="I182" s="20">
        <f>SUM(I183,I202,I216,I270,I304,I366,I401,I257)</f>
        <v>284770</v>
      </c>
      <c r="J182" s="20">
        <f t="shared" si="29"/>
        <v>271450</v>
      </c>
      <c r="K182" s="20">
        <f>SUM(K183,K202,K216,K270,K304,K366,K401,K257)</f>
        <v>1735565</v>
      </c>
      <c r="L182" s="20">
        <f>SUM(L183,L202,L216,L270,L304,L366,L401,L257)</f>
        <v>1474196</v>
      </c>
      <c r="M182" s="20">
        <f t="shared" si="30"/>
        <v>-261369</v>
      </c>
      <c r="N182" s="20">
        <f>SUM(N183,N202,N216,N270,N304,N366,N401,N257)</f>
        <v>233977</v>
      </c>
      <c r="O182" s="20">
        <f>SUM(O183,O202,O216,O270,O304,O366,O401,O257)</f>
        <v>233977</v>
      </c>
      <c r="P182" s="20">
        <f t="shared" si="31"/>
        <v>0</v>
      </c>
      <c r="Q182" s="20">
        <f>SUM(Q183,Q202,Q216,Q270,Q304,Q366,Q401,Q257)</f>
        <v>3835323</v>
      </c>
      <c r="R182" s="20">
        <f>SUM(R183,R202,R216,R270,R304,R366,R401,R257)</f>
        <v>3835323</v>
      </c>
      <c r="S182" s="20">
        <f t="shared" si="32"/>
        <v>0</v>
      </c>
      <c r="T182" s="20">
        <f>SUM(T183,T202,T216,T270,T304,T366,T401,T257)</f>
        <v>74169</v>
      </c>
      <c r="U182" s="20">
        <f>SUM(U183,U202,U216,U270,U304,U366,U401,U257)</f>
        <v>218419</v>
      </c>
      <c r="V182" s="20">
        <f t="shared" si="33"/>
        <v>144250</v>
      </c>
      <c r="W182" s="20">
        <f>SUM(W183,W202,W216,W270,W304,W366,W401,W257)</f>
        <v>3082341</v>
      </c>
      <c r="X182" s="20">
        <f>SUM(X183,X202,X216,X270,X304,X366,X401,X257)</f>
        <v>3082341</v>
      </c>
      <c r="Y182" s="20">
        <f t="shared" si="34"/>
        <v>0</v>
      </c>
      <c r="Z182" s="20">
        <f>SUM(Z183,Z202,Z216,Z270,Z304,Z366,Z401,Z257)</f>
        <v>12293672</v>
      </c>
      <c r="AA182" s="20">
        <f>SUM(AA183,AA202,AA216,AA270,AA304,AA366,AA401,AA257)</f>
        <v>12526335</v>
      </c>
      <c r="AB182" s="20">
        <f t="shared" si="35"/>
        <v>232663</v>
      </c>
    </row>
    <row r="183" spans="1:194" s="22" customFormat="1" x14ac:dyDescent="0.25">
      <c r="A183" s="19" t="s">
        <v>19</v>
      </c>
      <c r="B183" s="20">
        <f t="shared" si="27"/>
        <v>227990</v>
      </c>
      <c r="C183" s="20">
        <f t="shared" si="27"/>
        <v>227990</v>
      </c>
      <c r="D183" s="20">
        <f t="shared" si="27"/>
        <v>0</v>
      </c>
      <c r="E183" s="20">
        <f>SUM(E184,E190,E192,E198,E200)</f>
        <v>0</v>
      </c>
      <c r="F183" s="20">
        <f>SUM(F184,F190,F192,F198,F200)</f>
        <v>0</v>
      </c>
      <c r="G183" s="20">
        <f t="shared" si="28"/>
        <v>0</v>
      </c>
      <c r="H183" s="20">
        <f>SUM(H184,H190,H192,H198,H200)</f>
        <v>0</v>
      </c>
      <c r="I183" s="20">
        <f>SUM(I184,I190,I192,I198,I200)</f>
        <v>0</v>
      </c>
      <c r="J183" s="20">
        <f t="shared" si="29"/>
        <v>0</v>
      </c>
      <c r="K183" s="20">
        <f>SUM(K184,K190,K192,K198,K200)</f>
        <v>227990</v>
      </c>
      <c r="L183" s="20">
        <f>SUM(L184,L190,L192,L198,L200)</f>
        <v>227990</v>
      </c>
      <c r="M183" s="20">
        <f t="shared" si="30"/>
        <v>0</v>
      </c>
      <c r="N183" s="20">
        <f>SUM(N184,N190,N192,N198,N200)</f>
        <v>0</v>
      </c>
      <c r="O183" s="20">
        <f>SUM(O184,O190,O192,O198,O200)</f>
        <v>0</v>
      </c>
      <c r="P183" s="20">
        <f t="shared" si="31"/>
        <v>0</v>
      </c>
      <c r="Q183" s="20">
        <f>SUM(Q184,Q190,Q192,Q198,Q200)</f>
        <v>0</v>
      </c>
      <c r="R183" s="20">
        <f>SUM(R184,R190,R192,R198,R200)</f>
        <v>0</v>
      </c>
      <c r="S183" s="20">
        <f t="shared" si="32"/>
        <v>0</v>
      </c>
      <c r="T183" s="20">
        <f>SUM(T184,T190,T192,T198,T200)</f>
        <v>0</v>
      </c>
      <c r="U183" s="20">
        <f>SUM(U184,U190,U192,U198,U200)</f>
        <v>0</v>
      </c>
      <c r="V183" s="20">
        <f t="shared" si="33"/>
        <v>0</v>
      </c>
      <c r="W183" s="20">
        <f>SUM(W184,W190,W192,W198,W200)</f>
        <v>0</v>
      </c>
      <c r="X183" s="20">
        <f>SUM(X184,X190,X192,X198,X200)</f>
        <v>0</v>
      </c>
      <c r="Y183" s="20">
        <f t="shared" si="34"/>
        <v>0</v>
      </c>
      <c r="Z183" s="20">
        <f>SUM(Z184,Z190,Z192,Z198,Z200)</f>
        <v>0</v>
      </c>
      <c r="AA183" s="20">
        <f>SUM(AA184,AA190,AA192,AA198,AA200)</f>
        <v>0</v>
      </c>
      <c r="AB183" s="20">
        <f t="shared" si="35"/>
        <v>0</v>
      </c>
    </row>
    <row r="184" spans="1:194" s="22" customFormat="1" x14ac:dyDescent="0.25">
      <c r="A184" s="19" t="s">
        <v>168</v>
      </c>
      <c r="B184" s="20">
        <f t="shared" si="27"/>
        <v>76055</v>
      </c>
      <c r="C184" s="20">
        <f t="shared" si="27"/>
        <v>76055</v>
      </c>
      <c r="D184" s="20">
        <f t="shared" si="27"/>
        <v>0</v>
      </c>
      <c r="E184" s="20">
        <f>SUM(E185:E189)</f>
        <v>0</v>
      </c>
      <c r="F184" s="20">
        <f>SUM(F185:F189)</f>
        <v>0</v>
      </c>
      <c r="G184" s="20">
        <f t="shared" si="28"/>
        <v>0</v>
      </c>
      <c r="H184" s="20">
        <f>SUM(H185:H189)</f>
        <v>0</v>
      </c>
      <c r="I184" s="20">
        <f>SUM(I185:I189)</f>
        <v>0</v>
      </c>
      <c r="J184" s="20">
        <f t="shared" si="29"/>
        <v>0</v>
      </c>
      <c r="K184" s="20">
        <f>SUM(K185:K189)</f>
        <v>76055</v>
      </c>
      <c r="L184" s="20">
        <f>SUM(L185:L189)</f>
        <v>76055</v>
      </c>
      <c r="M184" s="20">
        <f t="shared" si="30"/>
        <v>0</v>
      </c>
      <c r="N184" s="20">
        <f>SUM(N185:N189)</f>
        <v>0</v>
      </c>
      <c r="O184" s="20">
        <f>SUM(O185:O189)</f>
        <v>0</v>
      </c>
      <c r="P184" s="20">
        <f t="shared" si="31"/>
        <v>0</v>
      </c>
      <c r="Q184" s="20">
        <f>SUM(Q185:Q189)</f>
        <v>0</v>
      </c>
      <c r="R184" s="20">
        <f>SUM(R185:R189)</f>
        <v>0</v>
      </c>
      <c r="S184" s="20">
        <f t="shared" si="32"/>
        <v>0</v>
      </c>
      <c r="T184" s="20">
        <f>SUM(T185:T189)</f>
        <v>0</v>
      </c>
      <c r="U184" s="20">
        <f>SUM(U185:U189)</f>
        <v>0</v>
      </c>
      <c r="V184" s="20">
        <f t="shared" si="33"/>
        <v>0</v>
      </c>
      <c r="W184" s="20">
        <f>SUM(W185:W189)</f>
        <v>0</v>
      </c>
      <c r="X184" s="20">
        <f>SUM(X185:X189)</f>
        <v>0</v>
      </c>
      <c r="Y184" s="20">
        <f t="shared" si="34"/>
        <v>0</v>
      </c>
      <c r="Z184" s="20">
        <f>SUM(Z185:Z189)</f>
        <v>0</v>
      </c>
      <c r="AA184" s="20">
        <f>SUM(AA185:AA189)</f>
        <v>0</v>
      </c>
      <c r="AB184" s="20">
        <f t="shared" si="35"/>
        <v>0</v>
      </c>
    </row>
    <row r="185" spans="1:194" s="22" customFormat="1" x14ac:dyDescent="0.25">
      <c r="A185" s="27" t="s">
        <v>169</v>
      </c>
      <c r="B185" s="28">
        <f t="shared" si="27"/>
        <v>70000</v>
      </c>
      <c r="C185" s="28">
        <f t="shared" si="27"/>
        <v>70000</v>
      </c>
      <c r="D185" s="28">
        <f t="shared" si="27"/>
        <v>0</v>
      </c>
      <c r="E185" s="28"/>
      <c r="F185" s="28"/>
      <c r="G185" s="28">
        <f t="shared" si="28"/>
        <v>0</v>
      </c>
      <c r="H185" s="28"/>
      <c r="I185" s="28"/>
      <c r="J185" s="28">
        <f t="shared" si="29"/>
        <v>0</v>
      </c>
      <c r="K185" s="28">
        <v>70000</v>
      </c>
      <c r="L185" s="28">
        <v>70000</v>
      </c>
      <c r="M185" s="28">
        <f t="shared" si="30"/>
        <v>0</v>
      </c>
      <c r="N185" s="28"/>
      <c r="O185" s="28"/>
      <c r="P185" s="28">
        <f t="shared" si="31"/>
        <v>0</v>
      </c>
      <c r="Q185" s="28"/>
      <c r="R185" s="28"/>
      <c r="S185" s="28">
        <f t="shared" si="32"/>
        <v>0</v>
      </c>
      <c r="T185" s="28"/>
      <c r="U185" s="28"/>
      <c r="V185" s="28">
        <f t="shared" si="33"/>
        <v>0</v>
      </c>
      <c r="W185" s="28"/>
      <c r="X185" s="28"/>
      <c r="Y185" s="28">
        <f t="shared" si="34"/>
        <v>0</v>
      </c>
      <c r="Z185" s="28"/>
      <c r="AA185" s="28"/>
      <c r="AB185" s="28">
        <f t="shared" si="35"/>
        <v>0</v>
      </c>
    </row>
    <row r="186" spans="1:194" s="22" customFormat="1" x14ac:dyDescent="0.25">
      <c r="A186" s="27" t="s">
        <v>170</v>
      </c>
      <c r="B186" s="28">
        <f t="shared" si="27"/>
        <v>1266</v>
      </c>
      <c r="C186" s="28">
        <f t="shared" si="27"/>
        <v>1266</v>
      </c>
      <c r="D186" s="28">
        <f t="shared" si="27"/>
        <v>0</v>
      </c>
      <c r="E186" s="28"/>
      <c r="F186" s="28"/>
      <c r="G186" s="28">
        <f t="shared" si="28"/>
        <v>0</v>
      </c>
      <c r="H186" s="28"/>
      <c r="I186" s="28"/>
      <c r="J186" s="28">
        <f t="shared" si="29"/>
        <v>0</v>
      </c>
      <c r="K186" s="28">
        <v>1266</v>
      </c>
      <c r="L186" s="28">
        <v>1266</v>
      </c>
      <c r="M186" s="28">
        <f t="shared" si="30"/>
        <v>0</v>
      </c>
      <c r="N186" s="28"/>
      <c r="O186" s="28"/>
      <c r="P186" s="28">
        <f t="shared" si="31"/>
        <v>0</v>
      </c>
      <c r="Q186" s="28"/>
      <c r="R186" s="28"/>
      <c r="S186" s="28">
        <f t="shared" si="32"/>
        <v>0</v>
      </c>
      <c r="T186" s="28"/>
      <c r="U186" s="28"/>
      <c r="V186" s="28">
        <f t="shared" si="33"/>
        <v>0</v>
      </c>
      <c r="W186" s="28"/>
      <c r="X186" s="28"/>
      <c r="Y186" s="28">
        <f t="shared" si="34"/>
        <v>0</v>
      </c>
      <c r="Z186" s="28"/>
      <c r="AA186" s="28"/>
      <c r="AB186" s="28">
        <f t="shared" si="35"/>
        <v>0</v>
      </c>
    </row>
    <row r="187" spans="1:194" s="22" customFormat="1" x14ac:dyDescent="0.25">
      <c r="A187" s="27" t="s">
        <v>171</v>
      </c>
      <c r="B187" s="28">
        <f t="shared" si="27"/>
        <v>2657</v>
      </c>
      <c r="C187" s="28">
        <f t="shared" si="27"/>
        <v>2657</v>
      </c>
      <c r="D187" s="28">
        <f t="shared" si="27"/>
        <v>0</v>
      </c>
      <c r="E187" s="28"/>
      <c r="F187" s="28"/>
      <c r="G187" s="28">
        <f t="shared" si="28"/>
        <v>0</v>
      </c>
      <c r="H187" s="28"/>
      <c r="I187" s="28"/>
      <c r="J187" s="28">
        <f t="shared" si="29"/>
        <v>0</v>
      </c>
      <c r="K187" s="28">
        <v>2657</v>
      </c>
      <c r="L187" s="28">
        <v>2657</v>
      </c>
      <c r="M187" s="28">
        <f t="shared" si="30"/>
        <v>0</v>
      </c>
      <c r="N187" s="28"/>
      <c r="O187" s="28"/>
      <c r="P187" s="28">
        <f t="shared" si="31"/>
        <v>0</v>
      </c>
      <c r="Q187" s="28"/>
      <c r="R187" s="28"/>
      <c r="S187" s="28">
        <f t="shared" si="32"/>
        <v>0</v>
      </c>
      <c r="T187" s="28"/>
      <c r="U187" s="28"/>
      <c r="V187" s="28">
        <f t="shared" si="33"/>
        <v>0</v>
      </c>
      <c r="W187" s="28"/>
      <c r="X187" s="28"/>
      <c r="Y187" s="28">
        <f t="shared" si="34"/>
        <v>0</v>
      </c>
      <c r="Z187" s="28"/>
      <c r="AA187" s="28"/>
      <c r="AB187" s="28">
        <f t="shared" si="35"/>
        <v>0</v>
      </c>
    </row>
    <row r="188" spans="1:194" s="22" customFormat="1" x14ac:dyDescent="0.25">
      <c r="A188" s="27" t="s">
        <v>172</v>
      </c>
      <c r="B188" s="28">
        <f t="shared" si="27"/>
        <v>1370</v>
      </c>
      <c r="C188" s="28">
        <f t="shared" si="27"/>
        <v>1370</v>
      </c>
      <c r="D188" s="28">
        <f t="shared" si="27"/>
        <v>0</v>
      </c>
      <c r="E188" s="28"/>
      <c r="F188" s="28"/>
      <c r="G188" s="28">
        <f t="shared" si="28"/>
        <v>0</v>
      </c>
      <c r="H188" s="28"/>
      <c r="I188" s="28"/>
      <c r="J188" s="28">
        <f t="shared" si="29"/>
        <v>0</v>
      </c>
      <c r="K188" s="28">
        <v>1370</v>
      </c>
      <c r="L188" s="28">
        <v>1370</v>
      </c>
      <c r="M188" s="28">
        <f t="shared" si="30"/>
        <v>0</v>
      </c>
      <c r="N188" s="28"/>
      <c r="O188" s="28"/>
      <c r="P188" s="28">
        <f t="shared" si="31"/>
        <v>0</v>
      </c>
      <c r="Q188" s="28"/>
      <c r="R188" s="28"/>
      <c r="S188" s="28">
        <f t="shared" si="32"/>
        <v>0</v>
      </c>
      <c r="T188" s="28"/>
      <c r="U188" s="28"/>
      <c r="V188" s="28">
        <f t="shared" si="33"/>
        <v>0</v>
      </c>
      <c r="W188" s="28"/>
      <c r="X188" s="28"/>
      <c r="Y188" s="28">
        <f t="shared" si="34"/>
        <v>0</v>
      </c>
      <c r="Z188" s="28"/>
      <c r="AA188" s="28"/>
      <c r="AB188" s="28">
        <f t="shared" si="35"/>
        <v>0</v>
      </c>
    </row>
    <row r="189" spans="1:194" s="22" customFormat="1" x14ac:dyDescent="0.25">
      <c r="A189" s="27" t="s">
        <v>173</v>
      </c>
      <c r="B189" s="28">
        <f t="shared" si="27"/>
        <v>762</v>
      </c>
      <c r="C189" s="28">
        <f t="shared" si="27"/>
        <v>762</v>
      </c>
      <c r="D189" s="28">
        <f t="shared" si="27"/>
        <v>0</v>
      </c>
      <c r="E189" s="28"/>
      <c r="F189" s="28"/>
      <c r="G189" s="28">
        <f t="shared" si="28"/>
        <v>0</v>
      </c>
      <c r="H189" s="28"/>
      <c r="I189" s="28"/>
      <c r="J189" s="28">
        <f t="shared" si="29"/>
        <v>0</v>
      </c>
      <c r="K189" s="28">
        <f>1602-840</f>
        <v>762</v>
      </c>
      <c r="L189" s="28">
        <f>1602-840</f>
        <v>762</v>
      </c>
      <c r="M189" s="28">
        <f t="shared" si="30"/>
        <v>0</v>
      </c>
      <c r="N189" s="28"/>
      <c r="O189" s="28"/>
      <c r="P189" s="28">
        <f t="shared" si="31"/>
        <v>0</v>
      </c>
      <c r="Q189" s="28"/>
      <c r="R189" s="28"/>
      <c r="S189" s="28">
        <f t="shared" si="32"/>
        <v>0</v>
      </c>
      <c r="T189" s="28"/>
      <c r="U189" s="28"/>
      <c r="V189" s="28">
        <f t="shared" si="33"/>
        <v>0</v>
      </c>
      <c r="W189" s="28"/>
      <c r="X189" s="28"/>
      <c r="Y189" s="28">
        <f t="shared" si="34"/>
        <v>0</v>
      </c>
      <c r="Z189" s="28"/>
      <c r="AA189" s="28"/>
      <c r="AB189" s="28">
        <f t="shared" si="35"/>
        <v>0</v>
      </c>
    </row>
    <row r="190" spans="1:194" s="21" customFormat="1" x14ac:dyDescent="0.25">
      <c r="A190" s="19" t="s">
        <v>174</v>
      </c>
      <c r="B190" s="20">
        <f t="shared" si="27"/>
        <v>44144</v>
      </c>
      <c r="C190" s="20">
        <f t="shared" si="27"/>
        <v>44144</v>
      </c>
      <c r="D190" s="20">
        <f t="shared" si="27"/>
        <v>0</v>
      </c>
      <c r="E190" s="20">
        <f>SUM(E191:E191)</f>
        <v>0</v>
      </c>
      <c r="F190" s="20">
        <f>SUM(F191:F191)</f>
        <v>0</v>
      </c>
      <c r="G190" s="20">
        <f t="shared" si="28"/>
        <v>0</v>
      </c>
      <c r="H190" s="20">
        <f>SUM(H191:H191)</f>
        <v>0</v>
      </c>
      <c r="I190" s="20">
        <f>SUM(I191:I191)</f>
        <v>0</v>
      </c>
      <c r="J190" s="20">
        <f t="shared" si="29"/>
        <v>0</v>
      </c>
      <c r="K190" s="20">
        <f>SUM(K191:K191)</f>
        <v>44144</v>
      </c>
      <c r="L190" s="20">
        <f>SUM(L191:L191)</f>
        <v>44144</v>
      </c>
      <c r="M190" s="20">
        <f t="shared" si="30"/>
        <v>0</v>
      </c>
      <c r="N190" s="20">
        <f>SUM(N191:N191)</f>
        <v>0</v>
      </c>
      <c r="O190" s="20">
        <f>SUM(O191:O191)</f>
        <v>0</v>
      </c>
      <c r="P190" s="20">
        <f t="shared" si="31"/>
        <v>0</v>
      </c>
      <c r="Q190" s="20">
        <f>SUM(Q191:Q191)</f>
        <v>0</v>
      </c>
      <c r="R190" s="20">
        <f>SUM(R191:R191)</f>
        <v>0</v>
      </c>
      <c r="S190" s="20">
        <f t="shared" si="32"/>
        <v>0</v>
      </c>
      <c r="T190" s="20">
        <f>SUM(T191:T191)</f>
        <v>0</v>
      </c>
      <c r="U190" s="20">
        <f>SUM(U191:U191)</f>
        <v>0</v>
      </c>
      <c r="V190" s="20">
        <f t="shared" si="33"/>
        <v>0</v>
      </c>
      <c r="W190" s="20">
        <f>SUM(W191:W191)</f>
        <v>0</v>
      </c>
      <c r="X190" s="20">
        <f>SUM(X191:X191)</f>
        <v>0</v>
      </c>
      <c r="Y190" s="20">
        <f t="shared" si="34"/>
        <v>0</v>
      </c>
      <c r="Z190" s="20">
        <f>SUM(Z191:Z191)</f>
        <v>0</v>
      </c>
      <c r="AA190" s="20">
        <f>SUM(AA191:AA191)</f>
        <v>0</v>
      </c>
      <c r="AB190" s="20">
        <f t="shared" si="35"/>
        <v>0</v>
      </c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  <c r="EV190" s="22"/>
      <c r="EW190" s="22"/>
      <c r="EX190" s="22"/>
      <c r="EY190" s="22"/>
      <c r="EZ190" s="22"/>
      <c r="FA190" s="22"/>
      <c r="FB190" s="22"/>
      <c r="FC190" s="22"/>
      <c r="FD190" s="22"/>
      <c r="FE190" s="22"/>
      <c r="FF190" s="22"/>
      <c r="FG190" s="22"/>
      <c r="FH190" s="22"/>
      <c r="FI190" s="22"/>
      <c r="FJ190" s="22"/>
      <c r="FK190" s="22"/>
      <c r="FL190" s="22"/>
      <c r="FM190" s="22"/>
      <c r="FN190" s="22"/>
      <c r="FO190" s="22"/>
      <c r="FP190" s="22"/>
      <c r="FQ190" s="22"/>
      <c r="FR190" s="22"/>
      <c r="FS190" s="22"/>
      <c r="FT190" s="22"/>
      <c r="FU190" s="22"/>
      <c r="FV190" s="22"/>
      <c r="FW190" s="22"/>
      <c r="FX190" s="22"/>
      <c r="FY190" s="22"/>
      <c r="FZ190" s="22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</row>
    <row r="191" spans="1:194" s="22" customFormat="1" ht="31.5" x14ac:dyDescent="0.25">
      <c r="A191" s="32" t="s">
        <v>175</v>
      </c>
      <c r="B191" s="28">
        <f t="shared" si="27"/>
        <v>44144</v>
      </c>
      <c r="C191" s="28">
        <f t="shared" si="27"/>
        <v>44144</v>
      </c>
      <c r="D191" s="28">
        <f t="shared" si="27"/>
        <v>0</v>
      </c>
      <c r="E191" s="28"/>
      <c r="F191" s="28"/>
      <c r="G191" s="28">
        <f t="shared" si="28"/>
        <v>0</v>
      </c>
      <c r="H191" s="28"/>
      <c r="I191" s="28"/>
      <c r="J191" s="28">
        <f t="shared" si="29"/>
        <v>0</v>
      </c>
      <c r="K191" s="28">
        <v>44144</v>
      </c>
      <c r="L191" s="28">
        <v>44144</v>
      </c>
      <c r="M191" s="28">
        <f t="shared" si="30"/>
        <v>0</v>
      </c>
      <c r="N191" s="28"/>
      <c r="O191" s="28"/>
      <c r="P191" s="28">
        <f t="shared" si="31"/>
        <v>0</v>
      </c>
      <c r="Q191" s="28"/>
      <c r="R191" s="28"/>
      <c r="S191" s="28">
        <f t="shared" si="32"/>
        <v>0</v>
      </c>
      <c r="T191" s="28"/>
      <c r="U191" s="28"/>
      <c r="V191" s="28">
        <f t="shared" si="33"/>
        <v>0</v>
      </c>
      <c r="W191" s="28"/>
      <c r="X191" s="28"/>
      <c r="Y191" s="28">
        <f t="shared" si="34"/>
        <v>0</v>
      </c>
      <c r="Z191" s="28"/>
      <c r="AA191" s="28"/>
      <c r="AB191" s="28">
        <f t="shared" si="35"/>
        <v>0</v>
      </c>
      <c r="FS191" s="21"/>
      <c r="FT191" s="21"/>
      <c r="FU191" s="21"/>
      <c r="FV191" s="21"/>
      <c r="FW191" s="21"/>
      <c r="FX191" s="21"/>
      <c r="FY191" s="21"/>
      <c r="FZ191" s="21"/>
      <c r="GA191" s="21"/>
      <c r="GB191" s="21"/>
      <c r="GC191" s="21"/>
      <c r="GD191" s="21"/>
      <c r="GE191" s="21"/>
      <c r="GF191" s="21"/>
      <c r="GG191" s="21"/>
      <c r="GH191" s="21"/>
      <c r="GI191" s="21"/>
      <c r="GJ191" s="21"/>
      <c r="GK191" s="21"/>
      <c r="GL191" s="21"/>
    </row>
    <row r="192" spans="1:194" s="22" customFormat="1" x14ac:dyDescent="0.25">
      <c r="A192" s="19" t="s">
        <v>176</v>
      </c>
      <c r="B192" s="20">
        <f t="shared" si="27"/>
        <v>41531</v>
      </c>
      <c r="C192" s="20">
        <f t="shared" si="27"/>
        <v>41531</v>
      </c>
      <c r="D192" s="20">
        <f t="shared" si="27"/>
        <v>0</v>
      </c>
      <c r="E192" s="20">
        <f>SUM(E193:E197)</f>
        <v>0</v>
      </c>
      <c r="F192" s="20">
        <f>SUM(F193:F197)</f>
        <v>0</v>
      </c>
      <c r="G192" s="20">
        <f t="shared" si="28"/>
        <v>0</v>
      </c>
      <c r="H192" s="20">
        <f>SUM(H193:H197)</f>
        <v>0</v>
      </c>
      <c r="I192" s="20">
        <f>SUM(I193:I197)</f>
        <v>0</v>
      </c>
      <c r="J192" s="20">
        <f t="shared" si="29"/>
        <v>0</v>
      </c>
      <c r="K192" s="20">
        <f>SUM(K193:K197)</f>
        <v>41531</v>
      </c>
      <c r="L192" s="20">
        <f>SUM(L193:L197)</f>
        <v>41531</v>
      </c>
      <c r="M192" s="20">
        <f t="shared" si="30"/>
        <v>0</v>
      </c>
      <c r="N192" s="20">
        <f>SUM(N193:N197)</f>
        <v>0</v>
      </c>
      <c r="O192" s="20">
        <f>SUM(O193:O197)</f>
        <v>0</v>
      </c>
      <c r="P192" s="20">
        <f t="shared" si="31"/>
        <v>0</v>
      </c>
      <c r="Q192" s="20">
        <f>SUM(Q193:Q197)</f>
        <v>0</v>
      </c>
      <c r="R192" s="20">
        <f>SUM(R193:R197)</f>
        <v>0</v>
      </c>
      <c r="S192" s="20">
        <f t="shared" si="32"/>
        <v>0</v>
      </c>
      <c r="T192" s="20">
        <f>SUM(T193:T197)</f>
        <v>0</v>
      </c>
      <c r="U192" s="20">
        <f>SUM(U193:U197)</f>
        <v>0</v>
      </c>
      <c r="V192" s="20">
        <f t="shared" si="33"/>
        <v>0</v>
      </c>
      <c r="W192" s="20">
        <f>SUM(W193:W197)</f>
        <v>0</v>
      </c>
      <c r="X192" s="20">
        <f>SUM(X193:X197)</f>
        <v>0</v>
      </c>
      <c r="Y192" s="20">
        <f t="shared" si="34"/>
        <v>0</v>
      </c>
      <c r="Z192" s="20">
        <f>SUM(Z193:Z197)</f>
        <v>0</v>
      </c>
      <c r="AA192" s="20">
        <f>SUM(AA193:AA197)</f>
        <v>0</v>
      </c>
      <c r="AB192" s="20">
        <f t="shared" si="35"/>
        <v>0</v>
      </c>
    </row>
    <row r="193" spans="1:194" s="22" customFormat="1" x14ac:dyDescent="0.25">
      <c r="A193" s="37" t="s">
        <v>177</v>
      </c>
      <c r="B193" s="28">
        <f t="shared" si="27"/>
        <v>12000</v>
      </c>
      <c r="C193" s="28">
        <f t="shared" si="27"/>
        <v>12000</v>
      </c>
      <c r="D193" s="28">
        <f t="shared" si="27"/>
        <v>0</v>
      </c>
      <c r="E193" s="28"/>
      <c r="F193" s="28"/>
      <c r="G193" s="28">
        <f t="shared" si="28"/>
        <v>0</v>
      </c>
      <c r="H193" s="28"/>
      <c r="I193" s="28"/>
      <c r="J193" s="28">
        <f t="shared" si="29"/>
        <v>0</v>
      </c>
      <c r="K193" s="28">
        <v>12000</v>
      </c>
      <c r="L193" s="28">
        <v>12000</v>
      </c>
      <c r="M193" s="28">
        <f t="shared" si="30"/>
        <v>0</v>
      </c>
      <c r="N193" s="28"/>
      <c r="O193" s="28"/>
      <c r="P193" s="28">
        <f t="shared" si="31"/>
        <v>0</v>
      </c>
      <c r="Q193" s="28"/>
      <c r="R193" s="28"/>
      <c r="S193" s="28">
        <f t="shared" si="32"/>
        <v>0</v>
      </c>
      <c r="T193" s="28"/>
      <c r="U193" s="28"/>
      <c r="V193" s="28">
        <f t="shared" si="33"/>
        <v>0</v>
      </c>
      <c r="W193" s="28"/>
      <c r="X193" s="28"/>
      <c r="Y193" s="28">
        <f t="shared" si="34"/>
        <v>0</v>
      </c>
      <c r="Z193" s="28"/>
      <c r="AA193" s="28"/>
      <c r="AB193" s="28">
        <f t="shared" si="35"/>
        <v>0</v>
      </c>
    </row>
    <row r="194" spans="1:194" s="22" customFormat="1" ht="31.5" x14ac:dyDescent="0.25">
      <c r="A194" s="37" t="s">
        <v>178</v>
      </c>
      <c r="B194" s="28">
        <f t="shared" si="27"/>
        <v>10000</v>
      </c>
      <c r="C194" s="28">
        <f t="shared" si="27"/>
        <v>10000</v>
      </c>
      <c r="D194" s="28">
        <f t="shared" si="27"/>
        <v>0</v>
      </c>
      <c r="E194" s="28"/>
      <c r="F194" s="28"/>
      <c r="G194" s="28">
        <f t="shared" si="28"/>
        <v>0</v>
      </c>
      <c r="H194" s="28"/>
      <c r="I194" s="28"/>
      <c r="J194" s="28">
        <f t="shared" si="29"/>
        <v>0</v>
      </c>
      <c r="K194" s="28">
        <v>10000</v>
      </c>
      <c r="L194" s="28">
        <v>10000</v>
      </c>
      <c r="M194" s="28">
        <f t="shared" si="30"/>
        <v>0</v>
      </c>
      <c r="N194" s="28"/>
      <c r="O194" s="28"/>
      <c r="P194" s="28">
        <f t="shared" si="31"/>
        <v>0</v>
      </c>
      <c r="Q194" s="28"/>
      <c r="R194" s="28"/>
      <c r="S194" s="28">
        <f t="shared" si="32"/>
        <v>0</v>
      </c>
      <c r="T194" s="28"/>
      <c r="U194" s="28"/>
      <c r="V194" s="28">
        <f t="shared" si="33"/>
        <v>0</v>
      </c>
      <c r="W194" s="28"/>
      <c r="X194" s="28"/>
      <c r="Y194" s="28">
        <f t="shared" si="34"/>
        <v>0</v>
      </c>
      <c r="Z194" s="28"/>
      <c r="AA194" s="28"/>
      <c r="AB194" s="28">
        <f t="shared" si="35"/>
        <v>0</v>
      </c>
    </row>
    <row r="195" spans="1:194" s="22" customFormat="1" x14ac:dyDescent="0.25">
      <c r="A195" s="27" t="s">
        <v>179</v>
      </c>
      <c r="B195" s="28">
        <f t="shared" si="27"/>
        <v>3450</v>
      </c>
      <c r="C195" s="28">
        <f t="shared" si="27"/>
        <v>3450</v>
      </c>
      <c r="D195" s="28">
        <f t="shared" si="27"/>
        <v>0</v>
      </c>
      <c r="E195" s="28"/>
      <c r="F195" s="28"/>
      <c r="G195" s="28">
        <f t="shared" si="28"/>
        <v>0</v>
      </c>
      <c r="H195" s="28"/>
      <c r="I195" s="28"/>
      <c r="J195" s="28">
        <f t="shared" si="29"/>
        <v>0</v>
      </c>
      <c r="K195" s="28">
        <v>3450</v>
      </c>
      <c r="L195" s="28">
        <v>3450</v>
      </c>
      <c r="M195" s="28">
        <f t="shared" si="30"/>
        <v>0</v>
      </c>
      <c r="N195" s="28"/>
      <c r="O195" s="28"/>
      <c r="P195" s="28">
        <f t="shared" si="31"/>
        <v>0</v>
      </c>
      <c r="Q195" s="28"/>
      <c r="R195" s="28"/>
      <c r="S195" s="28">
        <f t="shared" si="32"/>
        <v>0</v>
      </c>
      <c r="T195" s="28"/>
      <c r="U195" s="28"/>
      <c r="V195" s="28">
        <f t="shared" si="33"/>
        <v>0</v>
      </c>
      <c r="W195" s="28"/>
      <c r="X195" s="28"/>
      <c r="Y195" s="28">
        <f t="shared" si="34"/>
        <v>0</v>
      </c>
      <c r="Z195" s="28"/>
      <c r="AA195" s="28"/>
      <c r="AB195" s="28">
        <f t="shared" si="35"/>
        <v>0</v>
      </c>
    </row>
    <row r="196" spans="1:194" s="22" customFormat="1" ht="31.5" x14ac:dyDescent="0.25">
      <c r="A196" s="37" t="s">
        <v>180</v>
      </c>
      <c r="B196" s="28">
        <f t="shared" si="27"/>
        <v>6626</v>
      </c>
      <c r="C196" s="28">
        <f t="shared" si="27"/>
        <v>6626</v>
      </c>
      <c r="D196" s="28">
        <f t="shared" si="27"/>
        <v>0</v>
      </c>
      <c r="E196" s="28"/>
      <c r="F196" s="28"/>
      <c r="G196" s="28">
        <f t="shared" si="28"/>
        <v>0</v>
      </c>
      <c r="H196" s="28"/>
      <c r="I196" s="28"/>
      <c r="J196" s="28">
        <f t="shared" si="29"/>
        <v>0</v>
      </c>
      <c r="K196" s="28">
        <f>48405-37405-4374</f>
        <v>6626</v>
      </c>
      <c r="L196" s="28">
        <f>48405-37405-4374</f>
        <v>6626</v>
      </c>
      <c r="M196" s="28">
        <f t="shared" si="30"/>
        <v>0</v>
      </c>
      <c r="N196" s="28"/>
      <c r="O196" s="28"/>
      <c r="P196" s="28">
        <f t="shared" si="31"/>
        <v>0</v>
      </c>
      <c r="Q196" s="28"/>
      <c r="R196" s="28"/>
      <c r="S196" s="28">
        <f t="shared" si="32"/>
        <v>0</v>
      </c>
      <c r="T196" s="28"/>
      <c r="U196" s="28"/>
      <c r="V196" s="28">
        <f t="shared" si="33"/>
        <v>0</v>
      </c>
      <c r="W196" s="28"/>
      <c r="X196" s="28"/>
      <c r="Y196" s="28">
        <f t="shared" si="34"/>
        <v>0</v>
      </c>
      <c r="Z196" s="28"/>
      <c r="AA196" s="28"/>
      <c r="AB196" s="28">
        <f t="shared" si="35"/>
        <v>0</v>
      </c>
    </row>
    <row r="197" spans="1:194" s="22" customFormat="1" ht="31.5" x14ac:dyDescent="0.25">
      <c r="A197" s="37" t="s">
        <v>181</v>
      </c>
      <c r="B197" s="28">
        <f t="shared" si="27"/>
        <v>9455</v>
      </c>
      <c r="C197" s="28">
        <f t="shared" si="27"/>
        <v>9455</v>
      </c>
      <c r="D197" s="28">
        <f t="shared" si="27"/>
        <v>0</v>
      </c>
      <c r="E197" s="28"/>
      <c r="F197" s="28"/>
      <c r="G197" s="28">
        <f t="shared" si="28"/>
        <v>0</v>
      </c>
      <c r="H197" s="28"/>
      <c r="I197" s="28"/>
      <c r="J197" s="28">
        <f t="shared" si="29"/>
        <v>0</v>
      </c>
      <c r="K197" s="31">
        <f>9000+455</f>
        <v>9455</v>
      </c>
      <c r="L197" s="31">
        <f>9000+455</f>
        <v>9455</v>
      </c>
      <c r="M197" s="28">
        <f t="shared" si="30"/>
        <v>0</v>
      </c>
      <c r="N197" s="28"/>
      <c r="O197" s="28"/>
      <c r="P197" s="28">
        <f t="shared" si="31"/>
        <v>0</v>
      </c>
      <c r="Q197" s="28"/>
      <c r="R197" s="28"/>
      <c r="S197" s="28">
        <f t="shared" si="32"/>
        <v>0</v>
      </c>
      <c r="T197" s="28"/>
      <c r="U197" s="28"/>
      <c r="V197" s="28">
        <f t="shared" si="33"/>
        <v>0</v>
      </c>
      <c r="W197" s="28"/>
      <c r="X197" s="28"/>
      <c r="Y197" s="28">
        <f t="shared" si="34"/>
        <v>0</v>
      </c>
      <c r="Z197" s="28"/>
      <c r="AA197" s="28"/>
      <c r="AB197" s="28">
        <f t="shared" si="35"/>
        <v>0</v>
      </c>
    </row>
    <row r="198" spans="1:194" s="22" customFormat="1" x14ac:dyDescent="0.25">
      <c r="A198" s="19" t="s">
        <v>182</v>
      </c>
      <c r="B198" s="20">
        <f t="shared" si="27"/>
        <v>60000</v>
      </c>
      <c r="C198" s="20">
        <f t="shared" si="27"/>
        <v>60000</v>
      </c>
      <c r="D198" s="20">
        <f t="shared" si="27"/>
        <v>0</v>
      </c>
      <c r="E198" s="20">
        <f>SUM(E199:E199)</f>
        <v>0</v>
      </c>
      <c r="F198" s="20">
        <f>SUM(F199:F199)</f>
        <v>0</v>
      </c>
      <c r="G198" s="20">
        <f t="shared" si="28"/>
        <v>0</v>
      </c>
      <c r="H198" s="20">
        <f>SUM(H199:H199)</f>
        <v>0</v>
      </c>
      <c r="I198" s="20">
        <f>SUM(I199:I199)</f>
        <v>0</v>
      </c>
      <c r="J198" s="20">
        <f t="shared" si="29"/>
        <v>0</v>
      </c>
      <c r="K198" s="20">
        <f>SUM(K199:K199)</f>
        <v>60000</v>
      </c>
      <c r="L198" s="20">
        <f>SUM(L199:L199)</f>
        <v>60000</v>
      </c>
      <c r="M198" s="20">
        <f t="shared" si="30"/>
        <v>0</v>
      </c>
      <c r="N198" s="20">
        <f>SUM(N199:N199)</f>
        <v>0</v>
      </c>
      <c r="O198" s="20">
        <f>SUM(O199:O199)</f>
        <v>0</v>
      </c>
      <c r="P198" s="20">
        <f t="shared" si="31"/>
        <v>0</v>
      </c>
      <c r="Q198" s="20">
        <f>SUM(Q199:Q199)</f>
        <v>0</v>
      </c>
      <c r="R198" s="20">
        <f>SUM(R199:R199)</f>
        <v>0</v>
      </c>
      <c r="S198" s="20">
        <f t="shared" si="32"/>
        <v>0</v>
      </c>
      <c r="T198" s="20">
        <f>SUM(T199:T199)</f>
        <v>0</v>
      </c>
      <c r="U198" s="20">
        <f>SUM(U199:U199)</f>
        <v>0</v>
      </c>
      <c r="V198" s="20">
        <f t="shared" si="33"/>
        <v>0</v>
      </c>
      <c r="W198" s="20">
        <f>SUM(W199:W199)</f>
        <v>0</v>
      </c>
      <c r="X198" s="20">
        <f>SUM(X199:X199)</f>
        <v>0</v>
      </c>
      <c r="Y198" s="20">
        <f t="shared" si="34"/>
        <v>0</v>
      </c>
      <c r="Z198" s="20">
        <f>SUM(Z199:Z199)</f>
        <v>0</v>
      </c>
      <c r="AA198" s="20">
        <f>SUM(AA199:AA199)</f>
        <v>0</v>
      </c>
      <c r="AB198" s="20">
        <f t="shared" si="35"/>
        <v>0</v>
      </c>
    </row>
    <row r="199" spans="1:194" s="22" customFormat="1" x14ac:dyDescent="0.25">
      <c r="A199" s="27" t="s">
        <v>183</v>
      </c>
      <c r="B199" s="28">
        <f t="shared" si="27"/>
        <v>60000</v>
      </c>
      <c r="C199" s="28">
        <f t="shared" si="27"/>
        <v>60000</v>
      </c>
      <c r="D199" s="28">
        <f t="shared" si="27"/>
        <v>0</v>
      </c>
      <c r="E199" s="28"/>
      <c r="F199" s="28"/>
      <c r="G199" s="28">
        <f t="shared" si="28"/>
        <v>0</v>
      </c>
      <c r="H199" s="28"/>
      <c r="I199" s="28"/>
      <c r="J199" s="28">
        <f t="shared" si="29"/>
        <v>0</v>
      </c>
      <c r="K199" s="28">
        <v>60000</v>
      </c>
      <c r="L199" s="28">
        <v>60000</v>
      </c>
      <c r="M199" s="28">
        <f t="shared" si="30"/>
        <v>0</v>
      </c>
      <c r="N199" s="28"/>
      <c r="O199" s="28"/>
      <c r="P199" s="28">
        <f t="shared" si="31"/>
        <v>0</v>
      </c>
      <c r="Q199" s="28"/>
      <c r="R199" s="28"/>
      <c r="S199" s="28">
        <f t="shared" si="32"/>
        <v>0</v>
      </c>
      <c r="T199" s="28"/>
      <c r="U199" s="28"/>
      <c r="V199" s="28">
        <f t="shared" si="33"/>
        <v>0</v>
      </c>
      <c r="W199" s="28"/>
      <c r="X199" s="28"/>
      <c r="Y199" s="28">
        <f t="shared" si="34"/>
        <v>0</v>
      </c>
      <c r="Z199" s="28"/>
      <c r="AA199" s="28"/>
      <c r="AB199" s="28">
        <f t="shared" si="35"/>
        <v>0</v>
      </c>
    </row>
    <row r="200" spans="1:194" s="22" customFormat="1" x14ac:dyDescent="0.25">
      <c r="A200" s="34" t="s">
        <v>184</v>
      </c>
      <c r="B200" s="20">
        <f t="shared" si="27"/>
        <v>6260</v>
      </c>
      <c r="C200" s="20">
        <f t="shared" si="27"/>
        <v>6260</v>
      </c>
      <c r="D200" s="20">
        <f t="shared" si="27"/>
        <v>0</v>
      </c>
      <c r="E200" s="20">
        <f>SUM(E201:E201)</f>
        <v>0</v>
      </c>
      <c r="F200" s="20">
        <f>SUM(F201:F201)</f>
        <v>0</v>
      </c>
      <c r="G200" s="20">
        <f t="shared" si="28"/>
        <v>0</v>
      </c>
      <c r="H200" s="20">
        <f>SUM(H201:H201)</f>
        <v>0</v>
      </c>
      <c r="I200" s="20">
        <f>SUM(I201:I201)</f>
        <v>0</v>
      </c>
      <c r="J200" s="20">
        <f t="shared" si="29"/>
        <v>0</v>
      </c>
      <c r="K200" s="20">
        <f>SUM(K201:K201)</f>
        <v>6260</v>
      </c>
      <c r="L200" s="20">
        <f>SUM(L201:L201)</f>
        <v>6260</v>
      </c>
      <c r="M200" s="20">
        <f t="shared" si="30"/>
        <v>0</v>
      </c>
      <c r="N200" s="20">
        <f>SUM(N201:N201)</f>
        <v>0</v>
      </c>
      <c r="O200" s="20">
        <f>SUM(O201:O201)</f>
        <v>0</v>
      </c>
      <c r="P200" s="20">
        <f t="shared" si="31"/>
        <v>0</v>
      </c>
      <c r="Q200" s="20">
        <f>SUM(Q201:Q201)</f>
        <v>0</v>
      </c>
      <c r="R200" s="20">
        <f>SUM(R201:R201)</f>
        <v>0</v>
      </c>
      <c r="S200" s="20">
        <f t="shared" si="32"/>
        <v>0</v>
      </c>
      <c r="T200" s="20">
        <f>SUM(T201:T201)</f>
        <v>0</v>
      </c>
      <c r="U200" s="20">
        <f>SUM(U201:U201)</f>
        <v>0</v>
      </c>
      <c r="V200" s="20">
        <f t="shared" si="33"/>
        <v>0</v>
      </c>
      <c r="W200" s="20">
        <f>SUM(W201:W201)</f>
        <v>0</v>
      </c>
      <c r="X200" s="20">
        <f>SUM(X201:X201)</f>
        <v>0</v>
      </c>
      <c r="Y200" s="20">
        <f t="shared" si="34"/>
        <v>0</v>
      </c>
      <c r="Z200" s="20">
        <f>SUM(Z201:Z201)</f>
        <v>0</v>
      </c>
      <c r="AA200" s="20">
        <f>SUM(AA201:AA201)</f>
        <v>0</v>
      </c>
      <c r="AB200" s="20">
        <f t="shared" si="35"/>
        <v>0</v>
      </c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1"/>
      <c r="GC200" s="21"/>
      <c r="GD200" s="21"/>
      <c r="GE200" s="21"/>
      <c r="GF200" s="21"/>
      <c r="GG200" s="21"/>
      <c r="GH200" s="21"/>
      <c r="GI200" s="21"/>
      <c r="GJ200" s="21"/>
      <c r="GK200" s="21"/>
      <c r="GL200" s="21"/>
    </row>
    <row r="201" spans="1:194" s="22" customFormat="1" x14ac:dyDescent="0.25">
      <c r="A201" s="27" t="s">
        <v>185</v>
      </c>
      <c r="B201" s="28">
        <f t="shared" si="27"/>
        <v>6260</v>
      </c>
      <c r="C201" s="28">
        <f t="shared" si="27"/>
        <v>6260</v>
      </c>
      <c r="D201" s="28">
        <f t="shared" si="27"/>
        <v>0</v>
      </c>
      <c r="E201" s="28"/>
      <c r="F201" s="28"/>
      <c r="G201" s="28">
        <f t="shared" si="28"/>
        <v>0</v>
      </c>
      <c r="H201" s="28"/>
      <c r="I201" s="28"/>
      <c r="J201" s="28">
        <f t="shared" si="29"/>
        <v>0</v>
      </c>
      <c r="K201" s="28">
        <v>6260</v>
      </c>
      <c r="L201" s="28">
        <v>6260</v>
      </c>
      <c r="M201" s="28">
        <f t="shared" si="30"/>
        <v>0</v>
      </c>
      <c r="N201" s="28"/>
      <c r="O201" s="28"/>
      <c r="P201" s="28">
        <f t="shared" si="31"/>
        <v>0</v>
      </c>
      <c r="Q201" s="28"/>
      <c r="R201" s="28"/>
      <c r="S201" s="28">
        <f t="shared" si="32"/>
        <v>0</v>
      </c>
      <c r="T201" s="28"/>
      <c r="U201" s="28"/>
      <c r="V201" s="28">
        <f t="shared" si="33"/>
        <v>0</v>
      </c>
      <c r="W201" s="28"/>
      <c r="X201" s="28"/>
      <c r="Y201" s="28">
        <f t="shared" si="34"/>
        <v>0</v>
      </c>
      <c r="Z201" s="28"/>
      <c r="AA201" s="28"/>
      <c r="AB201" s="28">
        <f t="shared" si="35"/>
        <v>0</v>
      </c>
    </row>
    <row r="202" spans="1:194" s="22" customFormat="1" x14ac:dyDescent="0.25">
      <c r="A202" s="26" t="s">
        <v>37</v>
      </c>
      <c r="B202" s="23">
        <f t="shared" si="27"/>
        <v>425135</v>
      </c>
      <c r="C202" s="23">
        <f t="shared" si="27"/>
        <v>425135</v>
      </c>
      <c r="D202" s="23">
        <f t="shared" si="27"/>
        <v>0</v>
      </c>
      <c r="E202" s="23">
        <f>SUM(E203,E205,E208,E214)</f>
        <v>0</v>
      </c>
      <c r="F202" s="23">
        <f>SUM(F203,F205,F208,F214)</f>
        <v>0</v>
      </c>
      <c r="G202" s="23">
        <f t="shared" si="28"/>
        <v>0</v>
      </c>
      <c r="H202" s="23">
        <f>SUM(H203,H205,H208,H214)</f>
        <v>0</v>
      </c>
      <c r="I202" s="23">
        <f>SUM(I203,I205,I208,I214)</f>
        <v>0</v>
      </c>
      <c r="J202" s="23">
        <f t="shared" si="29"/>
        <v>0</v>
      </c>
      <c r="K202" s="23">
        <f>SUM(K203,K205,K208,K214)</f>
        <v>3500</v>
      </c>
      <c r="L202" s="23">
        <f>SUM(L203,L205,L208,L214)</f>
        <v>3500</v>
      </c>
      <c r="M202" s="23">
        <f t="shared" si="30"/>
        <v>0</v>
      </c>
      <c r="N202" s="23">
        <f>SUM(N203,N205,N208,N214)</f>
        <v>30000</v>
      </c>
      <c r="O202" s="23">
        <f>SUM(O203,O205,O208,O214)</f>
        <v>30000</v>
      </c>
      <c r="P202" s="23">
        <f t="shared" si="31"/>
        <v>0</v>
      </c>
      <c r="Q202" s="23">
        <f>SUM(Q203,Q205,Q208,Q214)</f>
        <v>0</v>
      </c>
      <c r="R202" s="23">
        <f>SUM(R203,R205,R208,R214)</f>
        <v>0</v>
      </c>
      <c r="S202" s="23">
        <f t="shared" si="32"/>
        <v>0</v>
      </c>
      <c r="T202" s="23">
        <f>SUM(T203,T205,T208,T214)</f>
        <v>0</v>
      </c>
      <c r="U202" s="23">
        <f>SUM(U203,U205,U208,U214)</f>
        <v>0</v>
      </c>
      <c r="V202" s="23">
        <f t="shared" si="33"/>
        <v>0</v>
      </c>
      <c r="W202" s="23">
        <f>SUM(W203,W205,W208,W214)</f>
        <v>289635</v>
      </c>
      <c r="X202" s="23">
        <f>SUM(X203,X205,X208,X214)</f>
        <v>289635</v>
      </c>
      <c r="Y202" s="23">
        <f t="shared" si="34"/>
        <v>0</v>
      </c>
      <c r="Z202" s="23">
        <f>SUM(Z203,Z205,Z208,Z214)</f>
        <v>102000</v>
      </c>
      <c r="AA202" s="23">
        <f>SUM(AA203,AA205,AA208,AA214)</f>
        <v>102000</v>
      </c>
      <c r="AB202" s="23">
        <f t="shared" si="35"/>
        <v>0</v>
      </c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  <c r="EG202" s="21"/>
      <c r="EH202" s="21"/>
      <c r="EI202" s="21"/>
      <c r="EJ202" s="21"/>
      <c r="EK202" s="21"/>
      <c r="EL202" s="21"/>
      <c r="EM202" s="21"/>
      <c r="EN202" s="21"/>
      <c r="EO202" s="21"/>
      <c r="EP202" s="21"/>
      <c r="EQ202" s="21"/>
      <c r="ER202" s="21"/>
      <c r="ES202" s="21"/>
      <c r="ET202" s="21"/>
      <c r="EU202" s="21"/>
      <c r="EV202" s="21"/>
      <c r="EW202" s="21"/>
      <c r="EX202" s="21"/>
      <c r="EY202" s="21"/>
      <c r="EZ202" s="21"/>
      <c r="FA202" s="21"/>
      <c r="FB202" s="21"/>
      <c r="FC202" s="21"/>
      <c r="FD202" s="21"/>
      <c r="FE202" s="21"/>
      <c r="FF202" s="21"/>
      <c r="FG202" s="21"/>
      <c r="FH202" s="21"/>
      <c r="FI202" s="21"/>
      <c r="FJ202" s="21"/>
      <c r="FK202" s="21"/>
      <c r="FL202" s="21"/>
      <c r="FM202" s="21"/>
      <c r="FN202" s="21"/>
      <c r="FO202" s="21"/>
      <c r="FP202" s="21"/>
      <c r="FQ202" s="21"/>
      <c r="FR202" s="21"/>
      <c r="FS202" s="21"/>
      <c r="FT202" s="21"/>
      <c r="FU202" s="21"/>
      <c r="FV202" s="21"/>
      <c r="FW202" s="21"/>
      <c r="FX202" s="21"/>
      <c r="FY202" s="21"/>
      <c r="FZ202" s="21"/>
      <c r="GA202" s="21"/>
      <c r="GB202" s="21"/>
      <c r="GC202" s="21"/>
      <c r="GD202" s="21"/>
      <c r="GE202" s="21"/>
      <c r="GF202" s="21"/>
      <c r="GG202" s="21"/>
      <c r="GH202" s="21"/>
      <c r="GI202" s="21"/>
      <c r="GJ202" s="21"/>
      <c r="GK202" s="21"/>
      <c r="GL202" s="21"/>
    </row>
    <row r="203" spans="1:194" s="22" customFormat="1" x14ac:dyDescent="0.25">
      <c r="A203" s="19" t="s">
        <v>168</v>
      </c>
      <c r="B203" s="20">
        <f t="shared" si="27"/>
        <v>0</v>
      </c>
      <c r="C203" s="20">
        <f t="shared" si="27"/>
        <v>0</v>
      </c>
      <c r="D203" s="20">
        <f t="shared" si="27"/>
        <v>0</v>
      </c>
      <c r="E203" s="20">
        <f>SUM(E204:E204)</f>
        <v>0</v>
      </c>
      <c r="F203" s="20">
        <f>SUM(F204:F204)</f>
        <v>0</v>
      </c>
      <c r="G203" s="20">
        <f t="shared" si="28"/>
        <v>0</v>
      </c>
      <c r="H203" s="20">
        <f>SUM(H204:H204)</f>
        <v>0</v>
      </c>
      <c r="I203" s="20">
        <f>SUM(I204:I204)</f>
        <v>0</v>
      </c>
      <c r="J203" s="20">
        <f t="shared" si="29"/>
        <v>0</v>
      </c>
      <c r="K203" s="20">
        <f>SUM(K204:K204)</f>
        <v>0</v>
      </c>
      <c r="L203" s="20">
        <f>SUM(L204:L204)</f>
        <v>0</v>
      </c>
      <c r="M203" s="20">
        <f t="shared" si="30"/>
        <v>0</v>
      </c>
      <c r="N203" s="20">
        <f>SUM(N204:N204)</f>
        <v>0</v>
      </c>
      <c r="O203" s="20">
        <f>SUM(O204:O204)</f>
        <v>0</v>
      </c>
      <c r="P203" s="20">
        <f t="shared" si="31"/>
        <v>0</v>
      </c>
      <c r="Q203" s="20">
        <f>SUM(Q204:Q204)</f>
        <v>0</v>
      </c>
      <c r="R203" s="20">
        <f>SUM(R204:R204)</f>
        <v>0</v>
      </c>
      <c r="S203" s="20">
        <f t="shared" si="32"/>
        <v>0</v>
      </c>
      <c r="T203" s="20">
        <f>SUM(T204:T204)</f>
        <v>0</v>
      </c>
      <c r="U203" s="20">
        <f>SUM(U204:U204)</f>
        <v>0</v>
      </c>
      <c r="V203" s="20">
        <f t="shared" si="33"/>
        <v>0</v>
      </c>
      <c r="W203" s="20">
        <f>SUM(W204:W204)</f>
        <v>0</v>
      </c>
      <c r="X203" s="20">
        <f>SUM(X204:X204)</f>
        <v>0</v>
      </c>
      <c r="Y203" s="20">
        <f t="shared" si="34"/>
        <v>0</v>
      </c>
      <c r="Z203" s="20">
        <f>SUM(Z204:Z204)</f>
        <v>0</v>
      </c>
      <c r="AA203" s="20">
        <f>SUM(AA204:AA204)</f>
        <v>0</v>
      </c>
      <c r="AB203" s="20">
        <f t="shared" si="35"/>
        <v>0</v>
      </c>
    </row>
    <row r="204" spans="1:194" s="22" customFormat="1" x14ac:dyDescent="0.25">
      <c r="A204" s="27"/>
      <c r="B204" s="25">
        <f t="shared" si="27"/>
        <v>0</v>
      </c>
      <c r="C204" s="25">
        <f t="shared" si="27"/>
        <v>0</v>
      </c>
      <c r="D204" s="25">
        <f t="shared" si="27"/>
        <v>0</v>
      </c>
      <c r="E204" s="25"/>
      <c r="F204" s="25"/>
      <c r="G204" s="25">
        <f t="shared" si="28"/>
        <v>0</v>
      </c>
      <c r="H204" s="25"/>
      <c r="I204" s="25"/>
      <c r="J204" s="25">
        <f t="shared" si="29"/>
        <v>0</v>
      </c>
      <c r="K204" s="25"/>
      <c r="L204" s="25"/>
      <c r="M204" s="25">
        <f t="shared" si="30"/>
        <v>0</v>
      </c>
      <c r="N204" s="25"/>
      <c r="O204" s="25"/>
      <c r="P204" s="25">
        <f t="shared" si="31"/>
        <v>0</v>
      </c>
      <c r="Q204" s="25"/>
      <c r="R204" s="25"/>
      <c r="S204" s="25">
        <f t="shared" si="32"/>
        <v>0</v>
      </c>
      <c r="T204" s="25"/>
      <c r="U204" s="25"/>
      <c r="V204" s="25">
        <f t="shared" si="33"/>
        <v>0</v>
      </c>
      <c r="W204" s="25"/>
      <c r="X204" s="25"/>
      <c r="Y204" s="25">
        <f t="shared" si="34"/>
        <v>0</v>
      </c>
      <c r="Z204" s="25"/>
      <c r="AA204" s="25"/>
      <c r="AB204" s="25">
        <f t="shared" si="35"/>
        <v>0</v>
      </c>
    </row>
    <row r="205" spans="1:194" s="22" customFormat="1" x14ac:dyDescent="0.25">
      <c r="A205" s="19" t="s">
        <v>176</v>
      </c>
      <c r="B205" s="23">
        <f t="shared" si="27"/>
        <v>85000</v>
      </c>
      <c r="C205" s="23">
        <f t="shared" si="27"/>
        <v>85000</v>
      </c>
      <c r="D205" s="23">
        <f t="shared" si="27"/>
        <v>0</v>
      </c>
      <c r="E205" s="23">
        <f>SUM(E206:E207)</f>
        <v>0</v>
      </c>
      <c r="F205" s="23">
        <f>SUM(F206:F207)</f>
        <v>0</v>
      </c>
      <c r="G205" s="23">
        <f t="shared" si="28"/>
        <v>0</v>
      </c>
      <c r="H205" s="23">
        <f>SUM(H206:H207)</f>
        <v>0</v>
      </c>
      <c r="I205" s="23">
        <f>SUM(I206:I207)</f>
        <v>0</v>
      </c>
      <c r="J205" s="23">
        <f t="shared" si="29"/>
        <v>0</v>
      </c>
      <c r="K205" s="23">
        <f>SUM(K206:K207)</f>
        <v>0</v>
      </c>
      <c r="L205" s="23">
        <f>SUM(L206:L207)</f>
        <v>0</v>
      </c>
      <c r="M205" s="23">
        <f t="shared" si="30"/>
        <v>0</v>
      </c>
      <c r="N205" s="23">
        <f>SUM(N206:N207)</f>
        <v>30000</v>
      </c>
      <c r="O205" s="23">
        <f>SUM(O206:O207)</f>
        <v>30000</v>
      </c>
      <c r="P205" s="23">
        <f t="shared" si="31"/>
        <v>0</v>
      </c>
      <c r="Q205" s="23">
        <f>SUM(Q206:Q207)</f>
        <v>0</v>
      </c>
      <c r="R205" s="23">
        <f>SUM(R206:R207)</f>
        <v>0</v>
      </c>
      <c r="S205" s="23">
        <f t="shared" si="32"/>
        <v>0</v>
      </c>
      <c r="T205" s="23">
        <f>SUM(T206:T207)</f>
        <v>0</v>
      </c>
      <c r="U205" s="23">
        <f>SUM(U206:U207)</f>
        <v>0</v>
      </c>
      <c r="V205" s="23">
        <f t="shared" si="33"/>
        <v>0</v>
      </c>
      <c r="W205" s="23">
        <f>SUM(W206:W207)</f>
        <v>0</v>
      </c>
      <c r="X205" s="23">
        <f>SUM(X206:X207)</f>
        <v>0</v>
      </c>
      <c r="Y205" s="23">
        <f t="shared" si="34"/>
        <v>0</v>
      </c>
      <c r="Z205" s="23">
        <f>SUM(Z206:Z207)</f>
        <v>55000</v>
      </c>
      <c r="AA205" s="23">
        <f>SUM(AA206:AA207)</f>
        <v>55000</v>
      </c>
      <c r="AB205" s="23">
        <f t="shared" si="35"/>
        <v>0</v>
      </c>
    </row>
    <row r="206" spans="1:194" s="22" customFormat="1" x14ac:dyDescent="0.25">
      <c r="A206" s="37" t="s">
        <v>186</v>
      </c>
      <c r="B206" s="28">
        <f t="shared" si="27"/>
        <v>30000</v>
      </c>
      <c r="C206" s="28">
        <f t="shared" si="27"/>
        <v>30000</v>
      </c>
      <c r="D206" s="28">
        <f t="shared" si="27"/>
        <v>0</v>
      </c>
      <c r="E206" s="28"/>
      <c r="F206" s="28"/>
      <c r="G206" s="28">
        <f t="shared" si="28"/>
        <v>0</v>
      </c>
      <c r="H206" s="28"/>
      <c r="I206" s="28"/>
      <c r="J206" s="28">
        <f t="shared" si="29"/>
        <v>0</v>
      </c>
      <c r="K206" s="28"/>
      <c r="L206" s="28"/>
      <c r="M206" s="28">
        <f t="shared" si="30"/>
        <v>0</v>
      </c>
      <c r="N206" s="28">
        <v>30000</v>
      </c>
      <c r="O206" s="28">
        <v>30000</v>
      </c>
      <c r="P206" s="28">
        <f t="shared" si="31"/>
        <v>0</v>
      </c>
      <c r="Q206" s="28"/>
      <c r="R206" s="28"/>
      <c r="S206" s="28">
        <f t="shared" si="32"/>
        <v>0</v>
      </c>
      <c r="T206" s="28"/>
      <c r="U206" s="28"/>
      <c r="V206" s="28">
        <f t="shared" si="33"/>
        <v>0</v>
      </c>
      <c r="W206" s="28"/>
      <c r="X206" s="28"/>
      <c r="Y206" s="28">
        <f t="shared" si="34"/>
        <v>0</v>
      </c>
      <c r="Z206" s="28"/>
      <c r="AA206" s="28"/>
      <c r="AB206" s="28">
        <f t="shared" si="35"/>
        <v>0</v>
      </c>
    </row>
    <row r="207" spans="1:194" s="22" customFormat="1" ht="47.25" x14ac:dyDescent="0.25">
      <c r="A207" s="37" t="s">
        <v>187</v>
      </c>
      <c r="B207" s="28">
        <f t="shared" si="27"/>
        <v>55000</v>
      </c>
      <c r="C207" s="28">
        <f t="shared" si="27"/>
        <v>55000</v>
      </c>
      <c r="D207" s="28">
        <f t="shared" si="27"/>
        <v>0</v>
      </c>
      <c r="E207" s="28"/>
      <c r="F207" s="28"/>
      <c r="G207" s="28">
        <f t="shared" si="28"/>
        <v>0</v>
      </c>
      <c r="H207" s="28"/>
      <c r="I207" s="28"/>
      <c r="J207" s="28">
        <f t="shared" si="29"/>
        <v>0</v>
      </c>
      <c r="K207" s="28"/>
      <c r="L207" s="28"/>
      <c r="M207" s="28">
        <f t="shared" si="30"/>
        <v>0</v>
      </c>
      <c r="N207" s="28"/>
      <c r="O207" s="28"/>
      <c r="P207" s="28">
        <f t="shared" si="31"/>
        <v>0</v>
      </c>
      <c r="Q207" s="28"/>
      <c r="R207" s="28"/>
      <c r="S207" s="28">
        <f t="shared" si="32"/>
        <v>0</v>
      </c>
      <c r="T207" s="28"/>
      <c r="U207" s="28"/>
      <c r="V207" s="28">
        <f t="shared" si="33"/>
        <v>0</v>
      </c>
      <c r="W207" s="28"/>
      <c r="X207" s="28"/>
      <c r="Y207" s="28">
        <f t="shared" si="34"/>
        <v>0</v>
      </c>
      <c r="Z207" s="28">
        <v>55000</v>
      </c>
      <c r="AA207" s="28">
        <v>55000</v>
      </c>
      <c r="AB207" s="28">
        <f t="shared" si="35"/>
        <v>0</v>
      </c>
    </row>
    <row r="208" spans="1:194" s="22" customFormat="1" x14ac:dyDescent="0.25">
      <c r="A208" s="19" t="s">
        <v>188</v>
      </c>
      <c r="B208" s="20">
        <f t="shared" si="27"/>
        <v>340135</v>
      </c>
      <c r="C208" s="20">
        <f t="shared" si="27"/>
        <v>340135</v>
      </c>
      <c r="D208" s="20">
        <f t="shared" si="27"/>
        <v>0</v>
      </c>
      <c r="E208" s="20">
        <f>SUM(E209:E213)</f>
        <v>0</v>
      </c>
      <c r="F208" s="20">
        <f>SUM(F209:F213)</f>
        <v>0</v>
      </c>
      <c r="G208" s="20">
        <f t="shared" si="28"/>
        <v>0</v>
      </c>
      <c r="H208" s="20">
        <f>SUM(H209:H213)</f>
        <v>0</v>
      </c>
      <c r="I208" s="20">
        <f>SUM(I209:I213)</f>
        <v>0</v>
      </c>
      <c r="J208" s="20">
        <f t="shared" si="29"/>
        <v>0</v>
      </c>
      <c r="K208" s="20">
        <f>SUM(K209:K213)</f>
        <v>3500</v>
      </c>
      <c r="L208" s="20">
        <f>SUM(L209:L213)</f>
        <v>3500</v>
      </c>
      <c r="M208" s="20">
        <f t="shared" si="30"/>
        <v>0</v>
      </c>
      <c r="N208" s="20">
        <f>SUM(N209:N213)</f>
        <v>0</v>
      </c>
      <c r="O208" s="20">
        <f>SUM(O209:O213)</f>
        <v>0</v>
      </c>
      <c r="P208" s="20">
        <f t="shared" si="31"/>
        <v>0</v>
      </c>
      <c r="Q208" s="20">
        <f>SUM(Q209:Q213)</f>
        <v>0</v>
      </c>
      <c r="R208" s="20">
        <f>SUM(R209:R213)</f>
        <v>0</v>
      </c>
      <c r="S208" s="20">
        <f t="shared" si="32"/>
        <v>0</v>
      </c>
      <c r="T208" s="20">
        <f>SUM(T209:T213)</f>
        <v>0</v>
      </c>
      <c r="U208" s="20">
        <f>SUM(U209:U213)</f>
        <v>0</v>
      </c>
      <c r="V208" s="20">
        <f t="shared" si="33"/>
        <v>0</v>
      </c>
      <c r="W208" s="20">
        <f>SUM(W209:W213)</f>
        <v>289635</v>
      </c>
      <c r="X208" s="20">
        <f>SUM(X209:X213)</f>
        <v>289635</v>
      </c>
      <c r="Y208" s="20">
        <f t="shared" si="34"/>
        <v>0</v>
      </c>
      <c r="Z208" s="20">
        <f>SUM(Z209:Z213)</f>
        <v>47000</v>
      </c>
      <c r="AA208" s="20">
        <f>SUM(AA209:AA213)</f>
        <v>47000</v>
      </c>
      <c r="AB208" s="20">
        <f t="shared" si="35"/>
        <v>0</v>
      </c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  <c r="CY208" s="21"/>
      <c r="CZ208" s="21"/>
      <c r="DA208" s="21"/>
      <c r="DB208" s="21"/>
      <c r="DC208" s="21"/>
      <c r="DD208" s="21"/>
      <c r="DE208" s="21"/>
      <c r="DF208" s="21"/>
      <c r="DG208" s="21"/>
      <c r="DH208" s="21"/>
      <c r="DI208" s="21"/>
      <c r="DJ208" s="21"/>
      <c r="DK208" s="21"/>
      <c r="DL208" s="21"/>
      <c r="DM208" s="2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1"/>
      <c r="EA208" s="21"/>
      <c r="EB208" s="21"/>
      <c r="EC208" s="21"/>
      <c r="ED208" s="21"/>
      <c r="EE208" s="21"/>
      <c r="EF208" s="21"/>
      <c r="EG208" s="21"/>
      <c r="EH208" s="21"/>
      <c r="EI208" s="21"/>
      <c r="EJ208" s="21"/>
      <c r="EK208" s="21"/>
      <c r="EL208" s="21"/>
      <c r="EM208" s="21"/>
      <c r="EN208" s="21"/>
      <c r="EO208" s="21"/>
      <c r="EP208" s="21"/>
      <c r="EQ208" s="21"/>
      <c r="ER208" s="21"/>
      <c r="ES208" s="21"/>
      <c r="ET208" s="21"/>
      <c r="EU208" s="21"/>
      <c r="EV208" s="21"/>
      <c r="EW208" s="21"/>
      <c r="EX208" s="21"/>
      <c r="EY208" s="21"/>
      <c r="EZ208" s="21"/>
      <c r="FA208" s="21"/>
      <c r="FB208" s="21"/>
      <c r="FC208" s="21"/>
      <c r="FD208" s="21"/>
      <c r="FE208" s="21"/>
      <c r="FF208" s="21"/>
      <c r="FG208" s="21"/>
      <c r="FH208" s="21"/>
      <c r="FI208" s="21"/>
      <c r="FJ208" s="21"/>
      <c r="FK208" s="21"/>
      <c r="FL208" s="21"/>
      <c r="FM208" s="21"/>
      <c r="FN208" s="21"/>
      <c r="FO208" s="21"/>
      <c r="FP208" s="21"/>
      <c r="FQ208" s="21"/>
      <c r="FR208" s="21"/>
      <c r="FS208" s="21"/>
      <c r="FT208" s="21"/>
      <c r="FU208" s="21"/>
      <c r="FV208" s="21"/>
      <c r="FW208" s="21"/>
      <c r="FX208" s="21"/>
      <c r="FY208" s="21"/>
      <c r="FZ208" s="21"/>
      <c r="GA208" s="21"/>
      <c r="GB208" s="21"/>
      <c r="GC208" s="21"/>
      <c r="GD208" s="21"/>
      <c r="GE208" s="21"/>
      <c r="GF208" s="21"/>
      <c r="GG208" s="21"/>
      <c r="GH208" s="21"/>
      <c r="GI208" s="21"/>
      <c r="GJ208" s="21"/>
      <c r="GK208" s="21"/>
      <c r="GL208" s="21"/>
    </row>
    <row r="209" spans="1:194" s="22" customFormat="1" ht="63" x14ac:dyDescent="0.25">
      <c r="A209" s="27" t="s">
        <v>189</v>
      </c>
      <c r="B209" s="28">
        <f t="shared" si="27"/>
        <v>47000</v>
      </c>
      <c r="C209" s="28">
        <f t="shared" si="27"/>
        <v>47000</v>
      </c>
      <c r="D209" s="28">
        <f t="shared" si="27"/>
        <v>0</v>
      </c>
      <c r="E209" s="28"/>
      <c r="F209" s="28"/>
      <c r="G209" s="28">
        <f t="shared" si="28"/>
        <v>0</v>
      </c>
      <c r="H209" s="28"/>
      <c r="I209" s="28"/>
      <c r="J209" s="28">
        <f t="shared" si="29"/>
        <v>0</v>
      </c>
      <c r="K209" s="28">
        <f>47000-47000</f>
        <v>0</v>
      </c>
      <c r="L209" s="28">
        <f>47000-47000</f>
        <v>0</v>
      </c>
      <c r="M209" s="28">
        <f t="shared" si="30"/>
        <v>0</v>
      </c>
      <c r="N209" s="28"/>
      <c r="O209" s="28"/>
      <c r="P209" s="28">
        <f t="shared" si="31"/>
        <v>0</v>
      </c>
      <c r="Q209" s="28"/>
      <c r="R209" s="28"/>
      <c r="S209" s="28">
        <f t="shared" si="32"/>
        <v>0</v>
      </c>
      <c r="T209" s="28"/>
      <c r="U209" s="28"/>
      <c r="V209" s="28">
        <f t="shared" si="33"/>
        <v>0</v>
      </c>
      <c r="W209" s="28"/>
      <c r="X209" s="28"/>
      <c r="Y209" s="28">
        <f t="shared" si="34"/>
        <v>0</v>
      </c>
      <c r="Z209" s="28">
        <f>0+47000</f>
        <v>47000</v>
      </c>
      <c r="AA209" s="28">
        <f>0+47000</f>
        <v>47000</v>
      </c>
      <c r="AB209" s="28">
        <f t="shared" si="35"/>
        <v>0</v>
      </c>
    </row>
    <row r="210" spans="1:194" s="22" customFormat="1" ht="63" x14ac:dyDescent="0.25">
      <c r="A210" s="27" t="s">
        <v>190</v>
      </c>
      <c r="B210" s="28">
        <f t="shared" si="27"/>
        <v>187843</v>
      </c>
      <c r="C210" s="28">
        <f t="shared" si="27"/>
        <v>187843</v>
      </c>
      <c r="D210" s="28">
        <f t="shared" si="27"/>
        <v>0</v>
      </c>
      <c r="E210" s="28"/>
      <c r="F210" s="28"/>
      <c r="G210" s="28">
        <f t="shared" si="28"/>
        <v>0</v>
      </c>
      <c r="H210" s="28"/>
      <c r="I210" s="28"/>
      <c r="J210" s="28">
        <f t="shared" si="29"/>
        <v>0</v>
      </c>
      <c r="K210" s="28"/>
      <c r="L210" s="28"/>
      <c r="M210" s="28">
        <f t="shared" si="30"/>
        <v>0</v>
      </c>
      <c r="N210" s="28"/>
      <c r="O210" s="28"/>
      <c r="P210" s="28">
        <f t="shared" si="31"/>
        <v>0</v>
      </c>
      <c r="Q210" s="28"/>
      <c r="R210" s="28"/>
      <c r="S210" s="28">
        <f t="shared" si="32"/>
        <v>0</v>
      </c>
      <c r="T210" s="28"/>
      <c r="U210" s="28"/>
      <c r="V210" s="28">
        <f t="shared" si="33"/>
        <v>0</v>
      </c>
      <c r="W210" s="28">
        <v>187843</v>
      </c>
      <c r="X210" s="28">
        <v>187843</v>
      </c>
      <c r="Y210" s="28">
        <f t="shared" si="34"/>
        <v>0</v>
      </c>
      <c r="Z210" s="28"/>
      <c r="AA210" s="28"/>
      <c r="AB210" s="28">
        <f t="shared" si="35"/>
        <v>0</v>
      </c>
    </row>
    <row r="211" spans="1:194" s="22" customFormat="1" x14ac:dyDescent="0.25">
      <c r="A211" s="27" t="s">
        <v>191</v>
      </c>
      <c r="B211" s="28">
        <f t="shared" si="27"/>
        <v>11886</v>
      </c>
      <c r="C211" s="28">
        <f t="shared" si="27"/>
        <v>11886</v>
      </c>
      <c r="D211" s="28">
        <f t="shared" si="27"/>
        <v>0</v>
      </c>
      <c r="E211" s="28"/>
      <c r="F211" s="28"/>
      <c r="G211" s="28">
        <f t="shared" si="28"/>
        <v>0</v>
      </c>
      <c r="H211" s="28"/>
      <c r="I211" s="28"/>
      <c r="J211" s="28">
        <f t="shared" si="29"/>
        <v>0</v>
      </c>
      <c r="K211" s="28"/>
      <c r="L211" s="28"/>
      <c r="M211" s="28">
        <f t="shared" si="30"/>
        <v>0</v>
      </c>
      <c r="N211" s="28"/>
      <c r="O211" s="28"/>
      <c r="P211" s="28">
        <f t="shared" si="31"/>
        <v>0</v>
      </c>
      <c r="Q211" s="28"/>
      <c r="R211" s="28"/>
      <c r="S211" s="28">
        <f t="shared" si="32"/>
        <v>0</v>
      </c>
      <c r="T211" s="28"/>
      <c r="U211" s="28"/>
      <c r="V211" s="28">
        <f t="shared" si="33"/>
        <v>0</v>
      </c>
      <c r="W211" s="28">
        <v>11886</v>
      </c>
      <c r="X211" s="28">
        <v>11886</v>
      </c>
      <c r="Y211" s="28">
        <f t="shared" si="34"/>
        <v>0</v>
      </c>
      <c r="Z211" s="28"/>
      <c r="AA211" s="28"/>
      <c r="AB211" s="28">
        <f t="shared" si="35"/>
        <v>0</v>
      </c>
    </row>
    <row r="212" spans="1:194" s="22" customFormat="1" ht="31.5" x14ac:dyDescent="0.25">
      <c r="A212" s="27" t="s">
        <v>192</v>
      </c>
      <c r="B212" s="28">
        <f t="shared" si="27"/>
        <v>75962</v>
      </c>
      <c r="C212" s="28">
        <f t="shared" si="27"/>
        <v>75962</v>
      </c>
      <c r="D212" s="28">
        <f t="shared" si="27"/>
        <v>0</v>
      </c>
      <c r="E212" s="28"/>
      <c r="F212" s="28"/>
      <c r="G212" s="28">
        <f t="shared" si="28"/>
        <v>0</v>
      </c>
      <c r="H212" s="28"/>
      <c r="I212" s="28"/>
      <c r="J212" s="28">
        <f t="shared" si="29"/>
        <v>0</v>
      </c>
      <c r="K212" s="28">
        <v>3500</v>
      </c>
      <c r="L212" s="28">
        <v>3500</v>
      </c>
      <c r="M212" s="28">
        <f t="shared" si="30"/>
        <v>0</v>
      </c>
      <c r="N212" s="28"/>
      <c r="O212" s="28"/>
      <c r="P212" s="28">
        <f t="shared" si="31"/>
        <v>0</v>
      </c>
      <c r="Q212" s="28"/>
      <c r="R212" s="28"/>
      <c r="S212" s="28">
        <f t="shared" si="32"/>
        <v>0</v>
      </c>
      <c r="T212" s="28"/>
      <c r="U212" s="28"/>
      <c r="V212" s="28">
        <f t="shared" si="33"/>
        <v>0</v>
      </c>
      <c r="W212" s="28">
        <v>72462</v>
      </c>
      <c r="X212" s="28">
        <v>72462</v>
      </c>
      <c r="Y212" s="28">
        <f t="shared" si="34"/>
        <v>0</v>
      </c>
      <c r="Z212" s="28"/>
      <c r="AA212" s="28"/>
      <c r="AB212" s="28">
        <f t="shared" si="35"/>
        <v>0</v>
      </c>
    </row>
    <row r="213" spans="1:194" s="22" customFormat="1" ht="31.5" x14ac:dyDescent="0.25">
      <c r="A213" s="27" t="s">
        <v>193</v>
      </c>
      <c r="B213" s="28">
        <f t="shared" si="27"/>
        <v>17444</v>
      </c>
      <c r="C213" s="28">
        <f t="shared" si="27"/>
        <v>17444</v>
      </c>
      <c r="D213" s="28">
        <f t="shared" si="27"/>
        <v>0</v>
      </c>
      <c r="E213" s="28"/>
      <c r="F213" s="28"/>
      <c r="G213" s="28">
        <f t="shared" si="28"/>
        <v>0</v>
      </c>
      <c r="H213" s="28"/>
      <c r="I213" s="28"/>
      <c r="J213" s="28">
        <f t="shared" si="29"/>
        <v>0</v>
      </c>
      <c r="K213" s="28"/>
      <c r="L213" s="28"/>
      <c r="M213" s="28">
        <f t="shared" si="30"/>
        <v>0</v>
      </c>
      <c r="N213" s="28"/>
      <c r="O213" s="28"/>
      <c r="P213" s="28">
        <f t="shared" si="31"/>
        <v>0</v>
      </c>
      <c r="Q213" s="28"/>
      <c r="R213" s="28"/>
      <c r="S213" s="28">
        <f t="shared" si="32"/>
        <v>0</v>
      </c>
      <c r="T213" s="28"/>
      <c r="U213" s="28"/>
      <c r="V213" s="28">
        <f t="shared" si="33"/>
        <v>0</v>
      </c>
      <c r="W213" s="28">
        <v>17444</v>
      </c>
      <c r="X213" s="28">
        <v>17444</v>
      </c>
      <c r="Y213" s="28">
        <f t="shared" si="34"/>
        <v>0</v>
      </c>
      <c r="Z213" s="28"/>
      <c r="AA213" s="28"/>
      <c r="AB213" s="28">
        <f t="shared" si="35"/>
        <v>0</v>
      </c>
    </row>
    <row r="214" spans="1:194" s="22" customFormat="1" x14ac:dyDescent="0.25">
      <c r="A214" s="34" t="s">
        <v>184</v>
      </c>
      <c r="B214" s="23">
        <f t="shared" ref="B214:D299" si="36">E214+H214+K214+N214+Q214+T214+W214+Z214</f>
        <v>0</v>
      </c>
      <c r="C214" s="23">
        <f t="shared" si="36"/>
        <v>0</v>
      </c>
      <c r="D214" s="23">
        <f t="shared" si="36"/>
        <v>0</v>
      </c>
      <c r="E214" s="23">
        <f>SUM(E215)</f>
        <v>0</v>
      </c>
      <c r="F214" s="23">
        <f>SUM(F215)</f>
        <v>0</v>
      </c>
      <c r="G214" s="23">
        <f t="shared" ref="G214:G299" si="37">F214-E214</f>
        <v>0</v>
      </c>
      <c r="H214" s="23">
        <f>SUM(H215)</f>
        <v>0</v>
      </c>
      <c r="I214" s="23">
        <f>SUM(I215)</f>
        <v>0</v>
      </c>
      <c r="J214" s="23">
        <f t="shared" ref="J214:J299" si="38">I214-H214</f>
        <v>0</v>
      </c>
      <c r="K214" s="23">
        <f>SUM(K215)</f>
        <v>0</v>
      </c>
      <c r="L214" s="23">
        <f>SUM(L215)</f>
        <v>0</v>
      </c>
      <c r="M214" s="23">
        <f t="shared" ref="M214:M299" si="39">L214-K214</f>
        <v>0</v>
      </c>
      <c r="N214" s="23">
        <f>SUM(N215)</f>
        <v>0</v>
      </c>
      <c r="O214" s="23">
        <f>SUM(O215)</f>
        <v>0</v>
      </c>
      <c r="P214" s="23">
        <f t="shared" ref="P214:P299" si="40">O214-N214</f>
        <v>0</v>
      </c>
      <c r="Q214" s="23">
        <f>SUM(Q215)</f>
        <v>0</v>
      </c>
      <c r="R214" s="23">
        <f>SUM(R215)</f>
        <v>0</v>
      </c>
      <c r="S214" s="23">
        <f t="shared" ref="S214:S299" si="41">R214-Q214</f>
        <v>0</v>
      </c>
      <c r="T214" s="23">
        <f>SUM(T215)</f>
        <v>0</v>
      </c>
      <c r="U214" s="23">
        <f>SUM(U215)</f>
        <v>0</v>
      </c>
      <c r="V214" s="23">
        <f t="shared" ref="V214:V299" si="42">U214-T214</f>
        <v>0</v>
      </c>
      <c r="W214" s="23">
        <f>SUM(W215)</f>
        <v>0</v>
      </c>
      <c r="X214" s="23">
        <f>SUM(X215)</f>
        <v>0</v>
      </c>
      <c r="Y214" s="23">
        <f t="shared" ref="Y214:Y299" si="43">X214-W214</f>
        <v>0</v>
      </c>
      <c r="Z214" s="23">
        <f>SUM(Z215)</f>
        <v>0</v>
      </c>
      <c r="AA214" s="23">
        <f>SUM(AA215)</f>
        <v>0</v>
      </c>
      <c r="AB214" s="23">
        <f t="shared" ref="AB214:AB299" si="44">AA214-Z214</f>
        <v>0</v>
      </c>
    </row>
    <row r="215" spans="1:194" s="22" customFormat="1" x14ac:dyDescent="0.25">
      <c r="A215" s="37"/>
      <c r="B215" s="28">
        <f t="shared" si="36"/>
        <v>0</v>
      </c>
      <c r="C215" s="28">
        <f t="shared" si="36"/>
        <v>0</v>
      </c>
      <c r="D215" s="28">
        <f t="shared" si="36"/>
        <v>0</v>
      </c>
      <c r="E215" s="28"/>
      <c r="F215" s="28"/>
      <c r="G215" s="28">
        <f t="shared" si="37"/>
        <v>0</v>
      </c>
      <c r="H215" s="28"/>
      <c r="I215" s="28"/>
      <c r="J215" s="28">
        <f t="shared" si="38"/>
        <v>0</v>
      </c>
      <c r="K215" s="28"/>
      <c r="L215" s="28"/>
      <c r="M215" s="28">
        <f t="shared" si="39"/>
        <v>0</v>
      </c>
      <c r="N215" s="28"/>
      <c r="O215" s="28"/>
      <c r="P215" s="28">
        <f t="shared" si="40"/>
        <v>0</v>
      </c>
      <c r="Q215" s="28"/>
      <c r="R215" s="28"/>
      <c r="S215" s="28">
        <f t="shared" si="41"/>
        <v>0</v>
      </c>
      <c r="T215" s="28"/>
      <c r="U215" s="28"/>
      <c r="V215" s="28">
        <f t="shared" si="42"/>
        <v>0</v>
      </c>
      <c r="W215" s="28"/>
      <c r="X215" s="28"/>
      <c r="Y215" s="28">
        <f t="shared" si="43"/>
        <v>0</v>
      </c>
      <c r="Z215" s="28"/>
      <c r="AA215" s="28"/>
      <c r="AB215" s="28">
        <f t="shared" si="44"/>
        <v>0</v>
      </c>
    </row>
    <row r="216" spans="1:194" s="22" customFormat="1" x14ac:dyDescent="0.25">
      <c r="A216" s="19" t="s">
        <v>57</v>
      </c>
      <c r="B216" s="20">
        <f t="shared" si="36"/>
        <v>2751594</v>
      </c>
      <c r="C216" s="20">
        <f t="shared" si="36"/>
        <v>2947152</v>
      </c>
      <c r="D216" s="20">
        <f t="shared" si="36"/>
        <v>195558</v>
      </c>
      <c r="E216" s="20">
        <f>SUM(E217,E242,E229,E244,E254)</f>
        <v>83000</v>
      </c>
      <c r="F216" s="20">
        <f>SUM(F217,F242,F229,F244,F254)</f>
        <v>83000</v>
      </c>
      <c r="G216" s="20">
        <f t="shared" si="37"/>
        <v>0</v>
      </c>
      <c r="H216" s="20">
        <f>SUM(H217,H242,H229,H244,H254)</f>
        <v>0</v>
      </c>
      <c r="I216" s="20">
        <f>SUM(I217,I242,I229,I244,I254)</f>
        <v>7494</v>
      </c>
      <c r="J216" s="20">
        <f t="shared" si="38"/>
        <v>7494</v>
      </c>
      <c r="K216" s="20">
        <f>SUM(K217,K242,K229,K244,K254)</f>
        <v>181016</v>
      </c>
      <c r="L216" s="20">
        <f>SUM(L217,L242,L229,L244,L254)</f>
        <v>224830</v>
      </c>
      <c r="M216" s="20">
        <f t="shared" si="39"/>
        <v>43814</v>
      </c>
      <c r="N216" s="20">
        <f>SUM(N217,N242,N229,N244,N254)</f>
        <v>33534</v>
      </c>
      <c r="O216" s="20">
        <f>SUM(O217,O242,O229,O244,O254)</f>
        <v>33534</v>
      </c>
      <c r="P216" s="20">
        <f t="shared" si="40"/>
        <v>0</v>
      </c>
      <c r="Q216" s="20">
        <f>SUM(Q217,Q242,Q229,Q244,Q254)</f>
        <v>0</v>
      </c>
      <c r="R216" s="20">
        <f>SUM(R217,R242,R229,R244,R254)</f>
        <v>0</v>
      </c>
      <c r="S216" s="20">
        <f t="shared" si="41"/>
        <v>0</v>
      </c>
      <c r="T216" s="20">
        <f>SUM(T217,T242,T229,T244,T254)</f>
        <v>9450</v>
      </c>
      <c r="U216" s="20">
        <f>SUM(U217,U242,U229,U244,U254)</f>
        <v>153700</v>
      </c>
      <c r="V216" s="20">
        <f t="shared" si="42"/>
        <v>144250</v>
      </c>
      <c r="W216" s="20">
        <f>SUM(W217,W242,W229,W244,W254)</f>
        <v>1382642</v>
      </c>
      <c r="X216" s="20">
        <f>SUM(X217,X242,X229,X244,X254)</f>
        <v>1382642</v>
      </c>
      <c r="Y216" s="20">
        <f t="shared" si="43"/>
        <v>0</v>
      </c>
      <c r="Z216" s="20">
        <f>SUM(Z217,Z242,Z229,Z244,Z254)</f>
        <v>1061952</v>
      </c>
      <c r="AA216" s="20">
        <f>SUM(AA217,AA242,AA229,AA244,AA254)</f>
        <v>1061952</v>
      </c>
      <c r="AB216" s="20">
        <f t="shared" si="44"/>
        <v>0</v>
      </c>
    </row>
    <row r="217" spans="1:194" s="22" customFormat="1" x14ac:dyDescent="0.25">
      <c r="A217" s="19" t="s">
        <v>168</v>
      </c>
      <c r="B217" s="20">
        <f t="shared" si="36"/>
        <v>64305</v>
      </c>
      <c r="C217" s="20">
        <f>F217+I217+L217+O217+R217+U217+X217+AA217</f>
        <v>248756</v>
      </c>
      <c r="D217" s="20">
        <f t="shared" si="36"/>
        <v>184451</v>
      </c>
      <c r="E217" s="20">
        <f>SUM(E218:E228)</f>
        <v>0</v>
      </c>
      <c r="F217" s="20">
        <f>SUM(F218:F228)</f>
        <v>0</v>
      </c>
      <c r="G217" s="20">
        <f t="shared" si="37"/>
        <v>0</v>
      </c>
      <c r="H217" s="20">
        <f>SUM(H218:H228)</f>
        <v>0</v>
      </c>
      <c r="I217" s="20">
        <f>SUM(I218:I228)</f>
        <v>0</v>
      </c>
      <c r="J217" s="20">
        <f t="shared" si="38"/>
        <v>0</v>
      </c>
      <c r="K217" s="20">
        <f>SUM(K218:K228)</f>
        <v>30942</v>
      </c>
      <c r="L217" s="20">
        <f>SUM(L218:L228)</f>
        <v>71143</v>
      </c>
      <c r="M217" s="20">
        <f t="shared" si="39"/>
        <v>40201</v>
      </c>
      <c r="N217" s="20">
        <f>SUM(N218:N228)</f>
        <v>30019</v>
      </c>
      <c r="O217" s="20">
        <f>SUM(O218:O228)</f>
        <v>30019</v>
      </c>
      <c r="P217" s="20">
        <f t="shared" si="40"/>
        <v>0</v>
      </c>
      <c r="Q217" s="20">
        <f>SUM(Q218:Q228)</f>
        <v>0</v>
      </c>
      <c r="R217" s="20">
        <f>SUM(R218:R228)</f>
        <v>0</v>
      </c>
      <c r="S217" s="20">
        <f t="shared" si="41"/>
        <v>0</v>
      </c>
      <c r="T217" s="20">
        <f>SUM(T218:T228)</f>
        <v>0</v>
      </c>
      <c r="U217" s="20">
        <f>SUM(U218:U228)</f>
        <v>144250</v>
      </c>
      <c r="V217" s="20">
        <f t="shared" si="42"/>
        <v>144250</v>
      </c>
      <c r="W217" s="20">
        <f>SUM(W218:W228)</f>
        <v>3344</v>
      </c>
      <c r="X217" s="20">
        <f>SUM(X218:X228)</f>
        <v>3344</v>
      </c>
      <c r="Y217" s="20">
        <f t="shared" si="43"/>
        <v>0</v>
      </c>
      <c r="Z217" s="20">
        <f>SUM(Z218:Z228)</f>
        <v>0</v>
      </c>
      <c r="AA217" s="20">
        <f>SUM(AA218:AA228)</f>
        <v>0</v>
      </c>
      <c r="AB217" s="20">
        <f t="shared" si="44"/>
        <v>0</v>
      </c>
    </row>
    <row r="218" spans="1:194" s="21" customFormat="1" x14ac:dyDescent="0.25">
      <c r="A218" s="27" t="s">
        <v>194</v>
      </c>
      <c r="B218" s="28">
        <f t="shared" si="36"/>
        <v>3344</v>
      </c>
      <c r="C218" s="28">
        <f t="shared" si="36"/>
        <v>3344</v>
      </c>
      <c r="D218" s="28">
        <f t="shared" si="36"/>
        <v>0</v>
      </c>
      <c r="E218" s="28"/>
      <c r="F218" s="28"/>
      <c r="G218" s="28">
        <f t="shared" si="37"/>
        <v>0</v>
      </c>
      <c r="H218" s="28"/>
      <c r="I218" s="28"/>
      <c r="J218" s="28">
        <f t="shared" si="38"/>
        <v>0</v>
      </c>
      <c r="K218" s="28"/>
      <c r="L218" s="28"/>
      <c r="M218" s="28">
        <f t="shared" si="39"/>
        <v>0</v>
      </c>
      <c r="N218" s="28"/>
      <c r="O218" s="28"/>
      <c r="P218" s="28">
        <f t="shared" si="40"/>
        <v>0</v>
      </c>
      <c r="Q218" s="28"/>
      <c r="R218" s="28"/>
      <c r="S218" s="28">
        <f t="shared" si="41"/>
        <v>0</v>
      </c>
      <c r="T218" s="28"/>
      <c r="U218" s="28"/>
      <c r="V218" s="28">
        <f t="shared" si="42"/>
        <v>0</v>
      </c>
      <c r="W218" s="28">
        <v>3344</v>
      </c>
      <c r="X218" s="28">
        <v>3344</v>
      </c>
      <c r="Y218" s="28">
        <f t="shared" si="43"/>
        <v>0</v>
      </c>
      <c r="Z218" s="28"/>
      <c r="AA218" s="28"/>
      <c r="AB218" s="28">
        <f t="shared" si="44"/>
        <v>0</v>
      </c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22"/>
      <c r="GB218" s="22"/>
      <c r="GC218" s="22"/>
      <c r="GD218" s="22"/>
      <c r="GE218" s="22"/>
      <c r="GF218" s="22"/>
      <c r="GG218" s="22"/>
      <c r="GH218" s="22"/>
      <c r="GI218" s="22"/>
      <c r="GJ218" s="22"/>
      <c r="GK218" s="22"/>
      <c r="GL218" s="22"/>
    </row>
    <row r="219" spans="1:194" s="18" customFormat="1" ht="31.5" x14ac:dyDescent="0.25">
      <c r="A219" s="38" t="s">
        <v>195</v>
      </c>
      <c r="B219" s="62">
        <f t="shared" si="36"/>
        <v>0</v>
      </c>
      <c r="C219" s="62">
        <f t="shared" si="36"/>
        <v>144250</v>
      </c>
      <c r="D219" s="62">
        <f t="shared" si="36"/>
        <v>144250</v>
      </c>
      <c r="E219" s="62"/>
      <c r="F219" s="62"/>
      <c r="G219" s="62">
        <f t="shared" si="37"/>
        <v>0</v>
      </c>
      <c r="H219" s="62"/>
      <c r="I219" s="62"/>
      <c r="J219" s="62">
        <f t="shared" si="38"/>
        <v>0</v>
      </c>
      <c r="K219" s="62"/>
      <c r="L219" s="62"/>
      <c r="M219" s="62">
        <f t="shared" si="39"/>
        <v>0</v>
      </c>
      <c r="N219" s="62"/>
      <c r="O219" s="62"/>
      <c r="P219" s="62">
        <f t="shared" si="40"/>
        <v>0</v>
      </c>
      <c r="Q219" s="62"/>
      <c r="R219" s="62"/>
      <c r="S219" s="62">
        <f t="shared" si="41"/>
        <v>0</v>
      </c>
      <c r="T219" s="62">
        <f>0</f>
        <v>0</v>
      </c>
      <c r="U219" s="62">
        <f>144250</f>
        <v>144250</v>
      </c>
      <c r="V219" s="62">
        <f t="shared" si="42"/>
        <v>144250</v>
      </c>
      <c r="W219" s="62"/>
      <c r="X219" s="62"/>
      <c r="Y219" s="62">
        <f t="shared" si="43"/>
        <v>0</v>
      </c>
      <c r="Z219" s="62"/>
      <c r="AA219" s="62"/>
      <c r="AB219" s="62">
        <f t="shared" si="44"/>
        <v>0</v>
      </c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  <c r="BZ219" s="41"/>
      <c r="CA219" s="41"/>
      <c r="CB219" s="41"/>
      <c r="CC219" s="41"/>
      <c r="CD219" s="41"/>
      <c r="CE219" s="41"/>
      <c r="CF219" s="41"/>
      <c r="CG219" s="41"/>
      <c r="CH219" s="41"/>
      <c r="CI219" s="41"/>
      <c r="CJ219" s="41"/>
      <c r="CK219" s="41"/>
      <c r="CL219" s="41"/>
      <c r="CM219" s="41"/>
      <c r="CN219" s="41"/>
      <c r="CO219" s="41"/>
      <c r="CP219" s="41"/>
      <c r="CQ219" s="41"/>
      <c r="CR219" s="41"/>
      <c r="CS219" s="41"/>
      <c r="CT219" s="41"/>
      <c r="CU219" s="41"/>
      <c r="CV219" s="41"/>
      <c r="CW219" s="41"/>
      <c r="CX219" s="41"/>
      <c r="CY219" s="41"/>
      <c r="CZ219" s="41"/>
      <c r="DA219" s="41"/>
      <c r="DB219" s="41"/>
      <c r="DC219" s="41"/>
      <c r="DD219" s="41"/>
      <c r="DE219" s="41"/>
      <c r="DF219" s="41"/>
      <c r="DG219" s="41"/>
      <c r="DH219" s="41"/>
      <c r="DI219" s="41"/>
      <c r="DJ219" s="41"/>
      <c r="DK219" s="41"/>
      <c r="DL219" s="41"/>
      <c r="DM219" s="41"/>
      <c r="DN219" s="41"/>
      <c r="DO219" s="41"/>
      <c r="DP219" s="41"/>
      <c r="DQ219" s="41"/>
      <c r="DR219" s="41"/>
      <c r="DS219" s="41"/>
      <c r="DT219" s="41"/>
      <c r="DU219" s="41"/>
      <c r="DV219" s="41"/>
      <c r="DW219" s="41"/>
      <c r="DX219" s="41"/>
      <c r="DY219" s="41"/>
      <c r="DZ219" s="41"/>
      <c r="EA219" s="41"/>
      <c r="EB219" s="41"/>
      <c r="EC219" s="41"/>
      <c r="ED219" s="41"/>
      <c r="EE219" s="41"/>
      <c r="EF219" s="41"/>
      <c r="EG219" s="41"/>
      <c r="EH219" s="41"/>
      <c r="EI219" s="41"/>
      <c r="EJ219" s="41"/>
      <c r="EK219" s="41"/>
      <c r="EL219" s="41"/>
      <c r="EM219" s="41"/>
      <c r="EN219" s="41"/>
      <c r="EO219" s="41"/>
      <c r="EP219" s="41"/>
      <c r="EQ219" s="41"/>
      <c r="ER219" s="41"/>
      <c r="ES219" s="41"/>
      <c r="ET219" s="41"/>
      <c r="EU219" s="41"/>
      <c r="EV219" s="41"/>
      <c r="EW219" s="41"/>
      <c r="EX219" s="41"/>
      <c r="EY219" s="41"/>
      <c r="EZ219" s="41"/>
      <c r="FA219" s="41"/>
      <c r="FB219" s="41"/>
      <c r="FC219" s="41"/>
      <c r="FD219" s="41"/>
      <c r="FE219" s="41"/>
      <c r="FF219" s="41"/>
      <c r="FG219" s="41"/>
      <c r="FH219" s="41"/>
      <c r="FI219" s="41"/>
      <c r="FJ219" s="41"/>
      <c r="FK219" s="41"/>
      <c r="FL219" s="41"/>
      <c r="FM219" s="41"/>
      <c r="FN219" s="41"/>
      <c r="FO219" s="41"/>
      <c r="FP219" s="41"/>
      <c r="FQ219" s="41"/>
      <c r="FR219" s="41"/>
      <c r="FS219" s="41"/>
      <c r="FT219" s="41"/>
      <c r="FU219" s="41"/>
      <c r="FV219" s="41"/>
      <c r="FW219" s="41"/>
      <c r="FX219" s="41"/>
      <c r="FY219" s="41"/>
      <c r="FZ219" s="41"/>
      <c r="GA219" s="41"/>
      <c r="GB219" s="41"/>
      <c r="GC219" s="41"/>
      <c r="GD219" s="41"/>
      <c r="GE219" s="41"/>
      <c r="GF219" s="41"/>
      <c r="GG219" s="41"/>
      <c r="GH219" s="41"/>
      <c r="GI219" s="41"/>
      <c r="GJ219" s="41"/>
      <c r="GK219" s="41"/>
      <c r="GL219" s="41"/>
    </row>
    <row r="220" spans="1:194" s="41" customFormat="1" ht="31.5" x14ac:dyDescent="0.25">
      <c r="A220" s="38" t="s">
        <v>196</v>
      </c>
      <c r="B220" s="62">
        <f t="shared" si="36"/>
        <v>0</v>
      </c>
      <c r="C220" s="62">
        <f t="shared" si="36"/>
        <v>2500</v>
      </c>
      <c r="D220" s="62">
        <f t="shared" si="36"/>
        <v>2500</v>
      </c>
      <c r="E220" s="62"/>
      <c r="F220" s="62"/>
      <c r="G220" s="62">
        <f t="shared" si="37"/>
        <v>0</v>
      </c>
      <c r="H220" s="62"/>
      <c r="I220" s="62"/>
      <c r="J220" s="62">
        <f t="shared" si="38"/>
        <v>0</v>
      </c>
      <c r="K220" s="62">
        <f>0</f>
        <v>0</v>
      </c>
      <c r="L220" s="62">
        <v>2500</v>
      </c>
      <c r="M220" s="62">
        <f t="shared" si="39"/>
        <v>2500</v>
      </c>
      <c r="N220" s="62"/>
      <c r="O220" s="62"/>
      <c r="P220" s="62">
        <f t="shared" si="40"/>
        <v>0</v>
      </c>
      <c r="Q220" s="62"/>
      <c r="R220" s="62"/>
      <c r="S220" s="62">
        <f t="shared" si="41"/>
        <v>0</v>
      </c>
      <c r="T220" s="62"/>
      <c r="U220" s="62"/>
      <c r="V220" s="62">
        <f t="shared" si="42"/>
        <v>0</v>
      </c>
      <c r="W220" s="62"/>
      <c r="X220" s="62"/>
      <c r="Y220" s="62">
        <f t="shared" si="43"/>
        <v>0</v>
      </c>
      <c r="Z220" s="62"/>
      <c r="AA220" s="62"/>
      <c r="AB220" s="62">
        <f t="shared" si="44"/>
        <v>0</v>
      </c>
    </row>
    <row r="221" spans="1:194" s="18" customFormat="1" x14ac:dyDescent="0.25">
      <c r="A221" s="38" t="s">
        <v>197</v>
      </c>
      <c r="B221" s="62">
        <f t="shared" si="36"/>
        <v>0</v>
      </c>
      <c r="C221" s="62">
        <f t="shared" si="36"/>
        <v>9404</v>
      </c>
      <c r="D221" s="62">
        <f t="shared" si="36"/>
        <v>9404</v>
      </c>
      <c r="E221" s="62"/>
      <c r="F221" s="62"/>
      <c r="G221" s="62">
        <f t="shared" si="37"/>
        <v>0</v>
      </c>
      <c r="H221" s="62"/>
      <c r="I221" s="62"/>
      <c r="J221" s="62">
        <f t="shared" si="38"/>
        <v>0</v>
      </c>
      <c r="K221" s="62">
        <f>0</f>
        <v>0</v>
      </c>
      <c r="L221" s="62">
        <f>9404</f>
        <v>9404</v>
      </c>
      <c r="M221" s="62">
        <f t="shared" si="39"/>
        <v>9404</v>
      </c>
      <c r="N221" s="62"/>
      <c r="O221" s="62"/>
      <c r="P221" s="62">
        <f t="shared" si="40"/>
        <v>0</v>
      </c>
      <c r="Q221" s="62"/>
      <c r="R221" s="62"/>
      <c r="S221" s="62">
        <f t="shared" si="41"/>
        <v>0</v>
      </c>
      <c r="T221" s="62"/>
      <c r="U221" s="62"/>
      <c r="V221" s="62">
        <f t="shared" si="42"/>
        <v>0</v>
      </c>
      <c r="W221" s="62"/>
      <c r="X221" s="62"/>
      <c r="Y221" s="62">
        <f t="shared" si="43"/>
        <v>0</v>
      </c>
      <c r="Z221" s="62"/>
      <c r="AA221" s="62"/>
      <c r="AB221" s="62">
        <f t="shared" si="44"/>
        <v>0</v>
      </c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41"/>
      <c r="BS221" s="41"/>
      <c r="BT221" s="41"/>
      <c r="BU221" s="41"/>
      <c r="BV221" s="41"/>
      <c r="BW221" s="41"/>
      <c r="BX221" s="41"/>
      <c r="BY221" s="41"/>
      <c r="BZ221" s="41"/>
      <c r="CA221" s="41"/>
      <c r="CB221" s="41"/>
      <c r="CC221" s="41"/>
      <c r="CD221" s="41"/>
      <c r="CE221" s="41"/>
      <c r="CF221" s="41"/>
      <c r="CG221" s="41"/>
      <c r="CH221" s="41"/>
      <c r="CI221" s="41"/>
      <c r="CJ221" s="41"/>
      <c r="CK221" s="41"/>
      <c r="CL221" s="41"/>
      <c r="CM221" s="41"/>
      <c r="CN221" s="41"/>
      <c r="CO221" s="41"/>
      <c r="CP221" s="41"/>
      <c r="CQ221" s="41"/>
      <c r="CR221" s="41"/>
      <c r="CS221" s="41"/>
      <c r="CT221" s="41"/>
      <c r="CU221" s="41"/>
      <c r="CV221" s="41"/>
      <c r="CW221" s="41"/>
      <c r="CX221" s="41"/>
      <c r="CY221" s="41"/>
      <c r="CZ221" s="41"/>
      <c r="DA221" s="41"/>
      <c r="DB221" s="41"/>
      <c r="DC221" s="41"/>
      <c r="DD221" s="41"/>
      <c r="DE221" s="41"/>
      <c r="DF221" s="41"/>
      <c r="DG221" s="41"/>
      <c r="DH221" s="41"/>
      <c r="DI221" s="41"/>
      <c r="DJ221" s="41"/>
      <c r="DK221" s="41"/>
      <c r="DL221" s="41"/>
      <c r="DM221" s="41"/>
      <c r="DN221" s="41"/>
      <c r="DO221" s="41"/>
      <c r="DP221" s="41"/>
      <c r="DQ221" s="41"/>
      <c r="DR221" s="41"/>
      <c r="DS221" s="41"/>
      <c r="DT221" s="41"/>
      <c r="DU221" s="41"/>
      <c r="DV221" s="41"/>
      <c r="DW221" s="41"/>
      <c r="DX221" s="41"/>
      <c r="DY221" s="41"/>
      <c r="DZ221" s="41"/>
      <c r="EA221" s="41"/>
      <c r="EB221" s="41"/>
      <c r="EC221" s="41"/>
      <c r="ED221" s="41"/>
      <c r="EE221" s="41"/>
      <c r="EF221" s="41"/>
      <c r="EG221" s="41"/>
      <c r="EH221" s="41"/>
      <c r="EI221" s="41"/>
      <c r="EJ221" s="41"/>
      <c r="EK221" s="41"/>
      <c r="EL221" s="41"/>
      <c r="EM221" s="41"/>
      <c r="EN221" s="41"/>
      <c r="EO221" s="41"/>
      <c r="EP221" s="41"/>
      <c r="EQ221" s="41"/>
      <c r="ER221" s="41"/>
      <c r="ES221" s="41"/>
      <c r="ET221" s="41"/>
      <c r="EU221" s="41"/>
      <c r="EV221" s="41"/>
      <c r="EW221" s="41"/>
      <c r="EX221" s="41"/>
      <c r="EY221" s="41"/>
      <c r="EZ221" s="41"/>
      <c r="FA221" s="41"/>
      <c r="FB221" s="41"/>
      <c r="FC221" s="41"/>
      <c r="FD221" s="41"/>
      <c r="FE221" s="41"/>
      <c r="FF221" s="41"/>
      <c r="FG221" s="41"/>
      <c r="FH221" s="41"/>
      <c r="FI221" s="41"/>
      <c r="FJ221" s="41"/>
      <c r="FK221" s="41"/>
      <c r="FL221" s="41"/>
      <c r="FM221" s="41"/>
      <c r="FN221" s="41"/>
      <c r="FO221" s="41"/>
      <c r="FP221" s="41"/>
      <c r="FQ221" s="41"/>
      <c r="FR221" s="41"/>
      <c r="FS221" s="41"/>
      <c r="FT221" s="41"/>
      <c r="FU221" s="41"/>
      <c r="FV221" s="41"/>
      <c r="FW221" s="41"/>
      <c r="FX221" s="41"/>
      <c r="FY221" s="41"/>
      <c r="FZ221" s="41"/>
      <c r="GA221" s="41"/>
      <c r="GB221" s="41"/>
      <c r="GC221" s="41"/>
      <c r="GD221" s="41"/>
      <c r="GE221" s="41"/>
      <c r="GF221" s="41"/>
      <c r="GG221" s="41"/>
      <c r="GH221" s="41"/>
      <c r="GI221" s="41"/>
      <c r="GJ221" s="41"/>
      <c r="GK221" s="41"/>
      <c r="GL221" s="41"/>
    </row>
    <row r="222" spans="1:194" s="18" customFormat="1" ht="31.5" x14ac:dyDescent="0.25">
      <c r="A222" s="38" t="s">
        <v>198</v>
      </c>
      <c r="B222" s="62">
        <f t="shared" si="36"/>
        <v>0</v>
      </c>
      <c r="C222" s="62">
        <f t="shared" si="36"/>
        <v>2156</v>
      </c>
      <c r="D222" s="62">
        <f t="shared" si="36"/>
        <v>2156</v>
      </c>
      <c r="E222" s="62"/>
      <c r="F222" s="62"/>
      <c r="G222" s="62">
        <f t="shared" si="37"/>
        <v>0</v>
      </c>
      <c r="H222" s="62"/>
      <c r="I222" s="62"/>
      <c r="J222" s="62">
        <f t="shared" si="38"/>
        <v>0</v>
      </c>
      <c r="K222" s="62">
        <f>0</f>
        <v>0</v>
      </c>
      <c r="L222" s="62">
        <v>2156</v>
      </c>
      <c r="M222" s="62">
        <f t="shared" si="39"/>
        <v>2156</v>
      </c>
      <c r="N222" s="62"/>
      <c r="O222" s="62"/>
      <c r="P222" s="62">
        <f t="shared" si="40"/>
        <v>0</v>
      </c>
      <c r="Q222" s="62"/>
      <c r="R222" s="62"/>
      <c r="S222" s="62">
        <f t="shared" si="41"/>
        <v>0</v>
      </c>
      <c r="T222" s="62">
        <f>0</f>
        <v>0</v>
      </c>
      <c r="U222" s="62"/>
      <c r="V222" s="62">
        <f t="shared" si="42"/>
        <v>0</v>
      </c>
      <c r="W222" s="62"/>
      <c r="X222" s="62"/>
      <c r="Y222" s="62">
        <f t="shared" si="43"/>
        <v>0</v>
      </c>
      <c r="Z222" s="62"/>
      <c r="AA222" s="62"/>
      <c r="AB222" s="62">
        <f t="shared" si="44"/>
        <v>0</v>
      </c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  <c r="CF222" s="41"/>
      <c r="CG222" s="41"/>
      <c r="CH222" s="41"/>
      <c r="CI222" s="41"/>
      <c r="CJ222" s="41"/>
      <c r="CK222" s="41"/>
      <c r="CL222" s="41"/>
      <c r="CM222" s="41"/>
      <c r="CN222" s="41"/>
      <c r="CO222" s="41"/>
      <c r="CP222" s="41"/>
      <c r="CQ222" s="41"/>
      <c r="CR222" s="41"/>
      <c r="CS222" s="41"/>
      <c r="CT222" s="41"/>
      <c r="CU222" s="41"/>
      <c r="CV222" s="41"/>
      <c r="CW222" s="41"/>
      <c r="CX222" s="41"/>
      <c r="CY222" s="41"/>
      <c r="CZ222" s="41"/>
      <c r="DA222" s="41"/>
      <c r="DB222" s="41"/>
      <c r="DC222" s="41"/>
      <c r="DD222" s="41"/>
      <c r="DE222" s="41"/>
      <c r="DF222" s="41"/>
      <c r="DG222" s="41"/>
      <c r="DH222" s="41"/>
      <c r="DI222" s="41"/>
      <c r="DJ222" s="41"/>
      <c r="DK222" s="41"/>
      <c r="DL222" s="41"/>
      <c r="DM222" s="41"/>
      <c r="DN222" s="41"/>
      <c r="DO222" s="41"/>
      <c r="DP222" s="41"/>
      <c r="DQ222" s="41"/>
      <c r="DR222" s="41"/>
      <c r="DS222" s="41"/>
      <c r="DT222" s="41"/>
      <c r="DU222" s="41"/>
      <c r="DV222" s="41"/>
      <c r="DW222" s="41"/>
      <c r="DX222" s="41"/>
      <c r="DY222" s="41"/>
      <c r="DZ222" s="41"/>
      <c r="EA222" s="41"/>
      <c r="EB222" s="41"/>
      <c r="EC222" s="41"/>
      <c r="ED222" s="41"/>
      <c r="EE222" s="41"/>
      <c r="EF222" s="41"/>
      <c r="EG222" s="41"/>
      <c r="EH222" s="41"/>
      <c r="EI222" s="41"/>
      <c r="EJ222" s="41"/>
      <c r="EK222" s="41"/>
      <c r="EL222" s="41"/>
      <c r="EM222" s="41"/>
      <c r="EN222" s="41"/>
      <c r="EO222" s="41"/>
      <c r="EP222" s="41"/>
      <c r="EQ222" s="41"/>
      <c r="ER222" s="41"/>
      <c r="ES222" s="41"/>
      <c r="ET222" s="41"/>
      <c r="EU222" s="41"/>
      <c r="EV222" s="41"/>
      <c r="EW222" s="41"/>
      <c r="EX222" s="41"/>
      <c r="EY222" s="41"/>
      <c r="EZ222" s="41"/>
      <c r="FA222" s="41"/>
      <c r="FB222" s="41"/>
      <c r="FC222" s="41"/>
      <c r="FD222" s="41"/>
      <c r="FE222" s="41"/>
      <c r="FF222" s="41"/>
      <c r="FG222" s="41"/>
      <c r="FH222" s="41"/>
      <c r="FI222" s="41"/>
      <c r="FJ222" s="41"/>
      <c r="FK222" s="41"/>
      <c r="FL222" s="41"/>
      <c r="FM222" s="41"/>
      <c r="FN222" s="41"/>
      <c r="FO222" s="41"/>
      <c r="FP222" s="41"/>
      <c r="FQ222" s="41"/>
      <c r="FR222" s="41"/>
      <c r="FS222" s="41"/>
      <c r="FT222" s="41"/>
      <c r="FU222" s="41"/>
      <c r="FV222" s="41"/>
      <c r="FW222" s="41"/>
      <c r="FX222" s="41"/>
      <c r="FY222" s="41"/>
      <c r="FZ222" s="41"/>
      <c r="GA222" s="41"/>
      <c r="GB222" s="41"/>
      <c r="GC222" s="41"/>
      <c r="GD222" s="41"/>
      <c r="GE222" s="41"/>
      <c r="GF222" s="41"/>
      <c r="GG222" s="41"/>
      <c r="GH222" s="41"/>
      <c r="GI222" s="41"/>
      <c r="GJ222" s="41"/>
      <c r="GK222" s="41"/>
      <c r="GL222" s="41"/>
    </row>
    <row r="223" spans="1:194" s="21" customFormat="1" x14ac:dyDescent="0.25">
      <c r="A223" s="38" t="s">
        <v>199</v>
      </c>
      <c r="B223" s="28">
        <f t="shared" si="36"/>
        <v>5292</v>
      </c>
      <c r="C223" s="28">
        <f t="shared" si="36"/>
        <v>5292</v>
      </c>
      <c r="D223" s="28">
        <f t="shared" si="36"/>
        <v>0</v>
      </c>
      <c r="E223" s="28"/>
      <c r="F223" s="28"/>
      <c r="G223" s="28">
        <f t="shared" si="37"/>
        <v>0</v>
      </c>
      <c r="H223" s="28"/>
      <c r="I223" s="28"/>
      <c r="J223" s="28">
        <f t="shared" si="38"/>
        <v>0</v>
      </c>
      <c r="K223" s="28">
        <v>5292</v>
      </c>
      <c r="L223" s="28">
        <v>5292</v>
      </c>
      <c r="M223" s="28">
        <f t="shared" si="39"/>
        <v>0</v>
      </c>
      <c r="N223" s="28"/>
      <c r="O223" s="28"/>
      <c r="P223" s="28">
        <f t="shared" si="40"/>
        <v>0</v>
      </c>
      <c r="Q223" s="28"/>
      <c r="R223" s="28"/>
      <c r="S223" s="28">
        <f t="shared" si="41"/>
        <v>0</v>
      </c>
      <c r="T223" s="28"/>
      <c r="U223" s="28"/>
      <c r="V223" s="28">
        <f t="shared" si="42"/>
        <v>0</v>
      </c>
      <c r="W223" s="28"/>
      <c r="X223" s="28"/>
      <c r="Y223" s="28">
        <f t="shared" si="43"/>
        <v>0</v>
      </c>
      <c r="Z223" s="28"/>
      <c r="AA223" s="28"/>
      <c r="AB223" s="28">
        <f t="shared" si="44"/>
        <v>0</v>
      </c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</row>
    <row r="224" spans="1:194" s="21" customFormat="1" x14ac:dyDescent="0.25">
      <c r="A224" s="38" t="s">
        <v>200</v>
      </c>
      <c r="B224" s="28">
        <f t="shared" si="36"/>
        <v>650</v>
      </c>
      <c r="C224" s="28">
        <f t="shared" si="36"/>
        <v>3392</v>
      </c>
      <c r="D224" s="28">
        <f t="shared" si="36"/>
        <v>2742</v>
      </c>
      <c r="E224" s="28"/>
      <c r="F224" s="28"/>
      <c r="G224" s="28">
        <f t="shared" si="37"/>
        <v>0</v>
      </c>
      <c r="H224" s="28"/>
      <c r="I224" s="28"/>
      <c r="J224" s="28">
        <f t="shared" si="38"/>
        <v>0</v>
      </c>
      <c r="K224" s="28">
        <v>650</v>
      </c>
      <c r="L224" s="28">
        <f>650+2742</f>
        <v>3392</v>
      </c>
      <c r="M224" s="28">
        <f t="shared" si="39"/>
        <v>2742</v>
      </c>
      <c r="N224" s="28"/>
      <c r="O224" s="28"/>
      <c r="P224" s="28">
        <f t="shared" si="40"/>
        <v>0</v>
      </c>
      <c r="Q224" s="28"/>
      <c r="R224" s="28"/>
      <c r="S224" s="28">
        <f t="shared" si="41"/>
        <v>0</v>
      </c>
      <c r="T224" s="28"/>
      <c r="U224" s="28"/>
      <c r="V224" s="28">
        <f t="shared" si="42"/>
        <v>0</v>
      </c>
      <c r="W224" s="28"/>
      <c r="X224" s="28"/>
      <c r="Y224" s="28">
        <f t="shared" si="43"/>
        <v>0</v>
      </c>
      <c r="Z224" s="28"/>
      <c r="AA224" s="28"/>
      <c r="AB224" s="28">
        <f t="shared" si="44"/>
        <v>0</v>
      </c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  <c r="EE224" s="22"/>
      <c r="EF224" s="22"/>
      <c r="EG224" s="22"/>
      <c r="EH224" s="22"/>
      <c r="EI224" s="22"/>
      <c r="EJ224" s="22"/>
      <c r="EK224" s="22"/>
      <c r="EL224" s="22"/>
      <c r="EM224" s="22"/>
      <c r="EN224" s="22"/>
      <c r="EO224" s="22"/>
      <c r="EP224" s="22"/>
      <c r="EQ224" s="22"/>
      <c r="ER224" s="22"/>
      <c r="ES224" s="22"/>
      <c r="ET224" s="22"/>
      <c r="EU224" s="22"/>
      <c r="EV224" s="22"/>
      <c r="EW224" s="22"/>
      <c r="EX224" s="22"/>
      <c r="EY224" s="22"/>
      <c r="EZ224" s="22"/>
      <c r="FA224" s="22"/>
      <c r="FB224" s="22"/>
      <c r="FC224" s="22"/>
      <c r="FD224" s="22"/>
      <c r="FE224" s="22"/>
      <c r="FF224" s="22"/>
      <c r="FG224" s="22"/>
      <c r="FH224" s="22"/>
      <c r="FI224" s="22"/>
      <c r="FJ224" s="22"/>
      <c r="FK224" s="22"/>
      <c r="FL224" s="22"/>
      <c r="FM224" s="22"/>
      <c r="FN224" s="22"/>
      <c r="FO224" s="22"/>
      <c r="FP224" s="22"/>
      <c r="FQ224" s="22"/>
      <c r="FR224" s="22"/>
      <c r="FS224" s="22"/>
      <c r="FT224" s="22"/>
      <c r="FU224" s="22"/>
      <c r="FV224" s="22"/>
      <c r="FW224" s="22"/>
      <c r="FX224" s="22"/>
      <c r="FY224" s="22"/>
      <c r="FZ224" s="22"/>
      <c r="GA224" s="22"/>
      <c r="GB224" s="22"/>
      <c r="GC224" s="22"/>
      <c r="GD224" s="22"/>
      <c r="GE224" s="22"/>
      <c r="GF224" s="22"/>
      <c r="GG224" s="22"/>
      <c r="GH224" s="22"/>
      <c r="GI224" s="22"/>
      <c r="GJ224" s="22"/>
      <c r="GK224" s="22"/>
      <c r="GL224" s="22"/>
    </row>
    <row r="225" spans="1:194" s="21" customFormat="1" x14ac:dyDescent="0.25">
      <c r="A225" s="27" t="s">
        <v>201</v>
      </c>
      <c r="B225" s="28">
        <f t="shared" si="36"/>
        <v>12019</v>
      </c>
      <c r="C225" s="28">
        <f t="shared" si="36"/>
        <v>16615</v>
      </c>
      <c r="D225" s="28">
        <f t="shared" si="36"/>
        <v>4596</v>
      </c>
      <c r="E225" s="28"/>
      <c r="F225" s="28"/>
      <c r="G225" s="28">
        <f t="shared" si="37"/>
        <v>0</v>
      </c>
      <c r="H225" s="28"/>
      <c r="I225" s="28"/>
      <c r="J225" s="28">
        <f t="shared" si="38"/>
        <v>0</v>
      </c>
      <c r="K225" s="28">
        <f>0</f>
        <v>0</v>
      </c>
      <c r="L225" s="28">
        <f>4596</f>
        <v>4596</v>
      </c>
      <c r="M225" s="28">
        <f t="shared" si="39"/>
        <v>4596</v>
      </c>
      <c r="N225" s="28">
        <f>7080+4939</f>
        <v>12019</v>
      </c>
      <c r="O225" s="28">
        <f>7080+4939</f>
        <v>12019</v>
      </c>
      <c r="P225" s="28">
        <f t="shared" si="40"/>
        <v>0</v>
      </c>
      <c r="Q225" s="28"/>
      <c r="R225" s="28"/>
      <c r="S225" s="28">
        <f t="shared" si="41"/>
        <v>0</v>
      </c>
      <c r="T225" s="28"/>
      <c r="U225" s="28"/>
      <c r="V225" s="28">
        <f t="shared" si="42"/>
        <v>0</v>
      </c>
      <c r="W225" s="28"/>
      <c r="X225" s="28"/>
      <c r="Y225" s="28">
        <f t="shared" si="43"/>
        <v>0</v>
      </c>
      <c r="Z225" s="28"/>
      <c r="AA225" s="28"/>
      <c r="AB225" s="28">
        <f t="shared" si="44"/>
        <v>0</v>
      </c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22"/>
      <c r="DY225" s="22"/>
      <c r="DZ225" s="22"/>
      <c r="EA225" s="22"/>
      <c r="EB225" s="22"/>
      <c r="EC225" s="22"/>
      <c r="ED225" s="22"/>
      <c r="EE225" s="22"/>
      <c r="EF225" s="22"/>
      <c r="EG225" s="22"/>
      <c r="EH225" s="22"/>
      <c r="EI225" s="22"/>
      <c r="EJ225" s="22"/>
      <c r="EK225" s="22"/>
      <c r="EL225" s="22"/>
      <c r="EM225" s="22"/>
      <c r="EN225" s="22"/>
      <c r="EO225" s="22"/>
      <c r="EP225" s="22"/>
      <c r="EQ225" s="22"/>
      <c r="ER225" s="22"/>
      <c r="ES225" s="22"/>
      <c r="ET225" s="22"/>
      <c r="EU225" s="22"/>
      <c r="EV225" s="22"/>
      <c r="EW225" s="22"/>
      <c r="EX225" s="22"/>
      <c r="EY225" s="22"/>
      <c r="EZ225" s="22"/>
      <c r="FA225" s="22"/>
      <c r="FB225" s="22"/>
      <c r="FC225" s="22"/>
      <c r="FD225" s="22"/>
      <c r="FE225" s="22"/>
      <c r="FF225" s="22"/>
      <c r="FG225" s="22"/>
      <c r="FH225" s="22"/>
      <c r="FI225" s="22"/>
      <c r="FJ225" s="22"/>
      <c r="FK225" s="22"/>
      <c r="FL225" s="22"/>
      <c r="FM225" s="22"/>
      <c r="FN225" s="22"/>
      <c r="FO225" s="22"/>
      <c r="FP225" s="22"/>
      <c r="FQ225" s="22"/>
      <c r="FR225" s="22"/>
      <c r="FS225" s="22"/>
      <c r="FT225" s="22"/>
      <c r="FU225" s="22"/>
      <c r="FV225" s="22"/>
      <c r="FW225" s="22"/>
      <c r="FX225" s="22"/>
      <c r="FY225" s="22"/>
      <c r="FZ225" s="22"/>
      <c r="GA225" s="22"/>
      <c r="GB225" s="22"/>
      <c r="GC225" s="22"/>
      <c r="GD225" s="22"/>
      <c r="GE225" s="22"/>
      <c r="GF225" s="22"/>
      <c r="GG225" s="22"/>
      <c r="GH225" s="22"/>
      <c r="GI225" s="22"/>
      <c r="GJ225" s="22"/>
      <c r="GK225" s="22"/>
      <c r="GL225" s="22"/>
    </row>
    <row r="226" spans="1:194" s="41" customFormat="1" x14ac:dyDescent="0.25">
      <c r="A226" s="38" t="s">
        <v>202</v>
      </c>
      <c r="B226" s="62">
        <f t="shared" si="36"/>
        <v>0</v>
      </c>
      <c r="C226" s="62">
        <f t="shared" si="36"/>
        <v>5589</v>
      </c>
      <c r="D226" s="62">
        <f t="shared" si="36"/>
        <v>5589</v>
      </c>
      <c r="E226" s="62"/>
      <c r="F226" s="62"/>
      <c r="G226" s="62">
        <f t="shared" si="37"/>
        <v>0</v>
      </c>
      <c r="H226" s="62"/>
      <c r="I226" s="62"/>
      <c r="J226" s="62">
        <f t="shared" si="38"/>
        <v>0</v>
      </c>
      <c r="K226" s="62">
        <f>0</f>
        <v>0</v>
      </c>
      <c r="L226" s="62">
        <f>5589</f>
        <v>5589</v>
      </c>
      <c r="M226" s="62">
        <f t="shared" si="39"/>
        <v>5589</v>
      </c>
      <c r="N226" s="62"/>
      <c r="O226" s="62"/>
      <c r="P226" s="62">
        <f t="shared" si="40"/>
        <v>0</v>
      </c>
      <c r="Q226" s="62"/>
      <c r="R226" s="62"/>
      <c r="S226" s="62">
        <f t="shared" si="41"/>
        <v>0</v>
      </c>
      <c r="T226" s="62"/>
      <c r="U226" s="62"/>
      <c r="V226" s="62">
        <f t="shared" si="42"/>
        <v>0</v>
      </c>
      <c r="W226" s="62"/>
      <c r="X226" s="62"/>
      <c r="Y226" s="62">
        <f t="shared" si="43"/>
        <v>0</v>
      </c>
      <c r="Z226" s="62"/>
      <c r="AA226" s="62"/>
      <c r="AB226" s="62">
        <f t="shared" si="44"/>
        <v>0</v>
      </c>
    </row>
    <row r="227" spans="1:194" s="22" customFormat="1" x14ac:dyDescent="0.25">
      <c r="A227" s="30" t="s">
        <v>203</v>
      </c>
      <c r="B227" s="28">
        <f t="shared" si="36"/>
        <v>25000</v>
      </c>
      <c r="C227" s="28">
        <f t="shared" si="36"/>
        <v>25000</v>
      </c>
      <c r="D227" s="28">
        <f t="shared" si="36"/>
        <v>0</v>
      </c>
      <c r="E227" s="28"/>
      <c r="F227" s="28"/>
      <c r="G227" s="28">
        <f t="shared" si="37"/>
        <v>0</v>
      </c>
      <c r="H227" s="28"/>
      <c r="I227" s="28"/>
      <c r="J227" s="28">
        <f t="shared" si="38"/>
        <v>0</v>
      </c>
      <c r="K227" s="28">
        <v>25000</v>
      </c>
      <c r="L227" s="28">
        <v>25000</v>
      </c>
      <c r="M227" s="28">
        <f t="shared" si="39"/>
        <v>0</v>
      </c>
      <c r="N227" s="28"/>
      <c r="O227" s="28"/>
      <c r="P227" s="28">
        <f t="shared" si="40"/>
        <v>0</v>
      </c>
      <c r="Q227" s="28"/>
      <c r="R227" s="28"/>
      <c r="S227" s="28">
        <f t="shared" si="41"/>
        <v>0</v>
      </c>
      <c r="T227" s="28"/>
      <c r="U227" s="28"/>
      <c r="V227" s="28">
        <f t="shared" si="42"/>
        <v>0</v>
      </c>
      <c r="W227" s="28"/>
      <c r="X227" s="28"/>
      <c r="Y227" s="28">
        <f t="shared" si="43"/>
        <v>0</v>
      </c>
      <c r="Z227" s="28"/>
      <c r="AA227" s="28"/>
      <c r="AB227" s="28">
        <f t="shared" si="44"/>
        <v>0</v>
      </c>
    </row>
    <row r="228" spans="1:194" s="21" customFormat="1" x14ac:dyDescent="0.25">
      <c r="A228" s="27" t="s">
        <v>204</v>
      </c>
      <c r="B228" s="28">
        <f t="shared" si="36"/>
        <v>18000</v>
      </c>
      <c r="C228" s="28">
        <f t="shared" si="36"/>
        <v>31214</v>
      </c>
      <c r="D228" s="28">
        <f t="shared" si="36"/>
        <v>13214</v>
      </c>
      <c r="E228" s="28"/>
      <c r="F228" s="28"/>
      <c r="G228" s="28">
        <f t="shared" si="37"/>
        <v>0</v>
      </c>
      <c r="H228" s="28"/>
      <c r="I228" s="28"/>
      <c r="J228" s="28">
        <f t="shared" si="38"/>
        <v>0</v>
      </c>
      <c r="K228" s="28">
        <f>0</f>
        <v>0</v>
      </c>
      <c r="L228" s="28">
        <f>13214</f>
        <v>13214</v>
      </c>
      <c r="M228" s="28">
        <f t="shared" si="39"/>
        <v>13214</v>
      </c>
      <c r="N228" s="28">
        <v>18000</v>
      </c>
      <c r="O228" s="28">
        <v>18000</v>
      </c>
      <c r="P228" s="28">
        <f t="shared" si="40"/>
        <v>0</v>
      </c>
      <c r="Q228" s="28"/>
      <c r="R228" s="28"/>
      <c r="S228" s="28">
        <f t="shared" si="41"/>
        <v>0</v>
      </c>
      <c r="T228" s="28"/>
      <c r="U228" s="28"/>
      <c r="V228" s="28">
        <f t="shared" si="42"/>
        <v>0</v>
      </c>
      <c r="W228" s="28"/>
      <c r="X228" s="28"/>
      <c r="Y228" s="28">
        <f t="shared" si="43"/>
        <v>0</v>
      </c>
      <c r="Z228" s="28"/>
      <c r="AA228" s="28"/>
      <c r="AB228" s="28">
        <f t="shared" si="44"/>
        <v>0</v>
      </c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  <c r="CS228" s="22"/>
      <c r="CT228" s="22"/>
      <c r="CU228" s="22"/>
      <c r="CV228" s="22"/>
      <c r="CW228" s="22"/>
      <c r="CX228" s="22"/>
      <c r="CY228" s="22"/>
      <c r="CZ228" s="22"/>
      <c r="DA228" s="22"/>
      <c r="DB228" s="22"/>
      <c r="DC228" s="22"/>
      <c r="DD228" s="22"/>
      <c r="DE228" s="22"/>
      <c r="DF228" s="22"/>
      <c r="DG228" s="22"/>
      <c r="DH228" s="22"/>
      <c r="DI228" s="22"/>
      <c r="DJ228" s="22"/>
      <c r="DK228" s="22"/>
      <c r="DL228" s="22"/>
      <c r="DM228" s="22"/>
      <c r="DN228" s="22"/>
      <c r="DO228" s="22"/>
      <c r="DP228" s="22"/>
      <c r="DQ228" s="22"/>
      <c r="DR228" s="22"/>
      <c r="DS228" s="22"/>
      <c r="DT228" s="22"/>
      <c r="DU228" s="22"/>
      <c r="DV228" s="22"/>
      <c r="DW228" s="22"/>
      <c r="DX228" s="22"/>
      <c r="DY228" s="22"/>
      <c r="DZ228" s="22"/>
      <c r="EA228" s="22"/>
      <c r="EB228" s="22"/>
      <c r="EC228" s="22"/>
      <c r="ED228" s="22"/>
      <c r="EE228" s="22"/>
      <c r="EF228" s="22"/>
      <c r="EG228" s="22"/>
      <c r="EH228" s="22"/>
      <c r="EI228" s="22"/>
      <c r="EJ228" s="22"/>
      <c r="EK228" s="22"/>
      <c r="EL228" s="22"/>
      <c r="EM228" s="22"/>
      <c r="EN228" s="22"/>
      <c r="EO228" s="22"/>
      <c r="EP228" s="22"/>
      <c r="EQ228" s="22"/>
      <c r="ER228" s="22"/>
      <c r="ES228" s="22"/>
      <c r="ET228" s="22"/>
      <c r="EU228" s="22"/>
      <c r="EV228" s="22"/>
      <c r="EW228" s="22"/>
      <c r="EX228" s="22"/>
      <c r="EY228" s="22"/>
      <c r="EZ228" s="22"/>
      <c r="FA228" s="22"/>
      <c r="FB228" s="22"/>
      <c r="FC228" s="22"/>
      <c r="FD228" s="22"/>
      <c r="FE228" s="22"/>
      <c r="FF228" s="22"/>
      <c r="FG228" s="22"/>
      <c r="FH228" s="22"/>
      <c r="FI228" s="22"/>
      <c r="FJ228" s="22"/>
      <c r="FK228" s="22"/>
      <c r="FL228" s="22"/>
      <c r="FM228" s="22"/>
      <c r="FN228" s="22"/>
      <c r="FO228" s="22"/>
      <c r="FP228" s="22"/>
      <c r="FQ228" s="22"/>
      <c r="FR228" s="22"/>
      <c r="FS228" s="22"/>
      <c r="FT228" s="22"/>
      <c r="FU228" s="22"/>
      <c r="FV228" s="22"/>
      <c r="FW228" s="22"/>
      <c r="FX228" s="22"/>
      <c r="FY228" s="22"/>
      <c r="FZ228" s="22"/>
      <c r="GA228" s="22"/>
      <c r="GB228" s="22"/>
      <c r="GC228" s="22"/>
      <c r="GD228" s="22"/>
      <c r="GE228" s="22"/>
      <c r="GF228" s="22"/>
      <c r="GG228" s="22"/>
      <c r="GH228" s="22"/>
      <c r="GI228" s="22"/>
      <c r="GJ228" s="22"/>
      <c r="GK228" s="22"/>
      <c r="GL228" s="22"/>
    </row>
    <row r="229" spans="1:194" s="22" customFormat="1" x14ac:dyDescent="0.25">
      <c r="A229" s="19" t="s">
        <v>176</v>
      </c>
      <c r="B229" s="20">
        <f t="shared" si="36"/>
        <v>89188</v>
      </c>
      <c r="C229" s="20">
        <f t="shared" si="36"/>
        <v>88698</v>
      </c>
      <c r="D229" s="20">
        <f t="shared" si="36"/>
        <v>-490</v>
      </c>
      <c r="E229" s="20">
        <f>SUM(E230:E241)</f>
        <v>0</v>
      </c>
      <c r="F229" s="20">
        <f>SUM(F230:F241)</f>
        <v>0</v>
      </c>
      <c r="G229" s="20">
        <f t="shared" si="37"/>
        <v>0</v>
      </c>
      <c r="H229" s="20">
        <f>SUM(H230:H241)</f>
        <v>0</v>
      </c>
      <c r="I229" s="20">
        <f>SUM(I230:I241)</f>
        <v>0</v>
      </c>
      <c r="J229" s="20">
        <f t="shared" si="38"/>
        <v>0</v>
      </c>
      <c r="K229" s="20">
        <f>SUM(K230:K241)</f>
        <v>79738</v>
      </c>
      <c r="L229" s="20">
        <f>SUM(L230:L241)</f>
        <v>79248</v>
      </c>
      <c r="M229" s="20">
        <f t="shared" si="39"/>
        <v>-490</v>
      </c>
      <c r="N229" s="20">
        <f>SUM(N230:N241)</f>
        <v>0</v>
      </c>
      <c r="O229" s="20">
        <f>SUM(O230:O241)</f>
        <v>0</v>
      </c>
      <c r="P229" s="20">
        <f t="shared" si="40"/>
        <v>0</v>
      </c>
      <c r="Q229" s="20">
        <f>SUM(Q230:Q241)</f>
        <v>0</v>
      </c>
      <c r="R229" s="20">
        <f>SUM(R230:R241)</f>
        <v>0</v>
      </c>
      <c r="S229" s="20">
        <f t="shared" si="41"/>
        <v>0</v>
      </c>
      <c r="T229" s="20">
        <f>SUM(T230:T241)</f>
        <v>9450</v>
      </c>
      <c r="U229" s="20">
        <f>SUM(U230:U241)</f>
        <v>9450</v>
      </c>
      <c r="V229" s="20">
        <f t="shared" si="42"/>
        <v>0</v>
      </c>
      <c r="W229" s="20">
        <f>SUM(W230:W241)</f>
        <v>0</v>
      </c>
      <c r="X229" s="20">
        <f>SUM(X230:X241)</f>
        <v>0</v>
      </c>
      <c r="Y229" s="20">
        <f t="shared" si="43"/>
        <v>0</v>
      </c>
      <c r="Z229" s="20">
        <f>SUM(Z230:Z241)</f>
        <v>0</v>
      </c>
      <c r="AA229" s="20">
        <f>SUM(AA230:AA241)</f>
        <v>0</v>
      </c>
      <c r="AB229" s="20">
        <f t="shared" si="44"/>
        <v>0</v>
      </c>
    </row>
    <row r="230" spans="1:194" s="22" customFormat="1" x14ac:dyDescent="0.25">
      <c r="A230" s="27" t="s">
        <v>205</v>
      </c>
      <c r="B230" s="28">
        <f t="shared" si="36"/>
        <v>0</v>
      </c>
      <c r="C230" s="28">
        <f t="shared" si="36"/>
        <v>2010</v>
      </c>
      <c r="D230" s="28">
        <f t="shared" si="36"/>
        <v>2010</v>
      </c>
      <c r="E230" s="28"/>
      <c r="F230" s="28"/>
      <c r="G230" s="28">
        <f t="shared" si="37"/>
        <v>0</v>
      </c>
      <c r="H230" s="28"/>
      <c r="I230" s="28"/>
      <c r="J230" s="28">
        <f t="shared" si="38"/>
        <v>0</v>
      </c>
      <c r="K230" s="28">
        <f>0</f>
        <v>0</v>
      </c>
      <c r="L230" s="28">
        <f>2010</f>
        <v>2010</v>
      </c>
      <c r="M230" s="28">
        <f t="shared" si="39"/>
        <v>2010</v>
      </c>
      <c r="N230" s="28">
        <f>4000-3515-485</f>
        <v>0</v>
      </c>
      <c r="O230" s="28">
        <f>4000-3515-485</f>
        <v>0</v>
      </c>
      <c r="P230" s="28">
        <f t="shared" si="40"/>
        <v>0</v>
      </c>
      <c r="Q230" s="28"/>
      <c r="R230" s="28"/>
      <c r="S230" s="28">
        <f t="shared" si="41"/>
        <v>0</v>
      </c>
      <c r="T230" s="28"/>
      <c r="U230" s="28"/>
      <c r="V230" s="28">
        <f t="shared" si="42"/>
        <v>0</v>
      </c>
      <c r="W230" s="28"/>
      <c r="X230" s="28"/>
      <c r="Y230" s="28">
        <f t="shared" si="43"/>
        <v>0</v>
      </c>
      <c r="Z230" s="28"/>
      <c r="AA230" s="28"/>
      <c r="AB230" s="28">
        <f t="shared" si="44"/>
        <v>0</v>
      </c>
    </row>
    <row r="231" spans="1:194" s="22" customFormat="1" x14ac:dyDescent="0.25">
      <c r="A231" s="27" t="s">
        <v>206</v>
      </c>
      <c r="B231" s="28">
        <f t="shared" si="36"/>
        <v>3900</v>
      </c>
      <c r="C231" s="28">
        <f t="shared" si="36"/>
        <v>3900</v>
      </c>
      <c r="D231" s="28">
        <f t="shared" si="36"/>
        <v>0</v>
      </c>
      <c r="E231" s="28"/>
      <c r="F231" s="28"/>
      <c r="G231" s="28">
        <f t="shared" si="37"/>
        <v>0</v>
      </c>
      <c r="H231" s="28"/>
      <c r="I231" s="28"/>
      <c r="J231" s="28">
        <f t="shared" si="38"/>
        <v>0</v>
      </c>
      <c r="K231" s="28">
        <v>3900</v>
      </c>
      <c r="L231" s="28">
        <v>3900</v>
      </c>
      <c r="M231" s="28">
        <f t="shared" si="39"/>
        <v>0</v>
      </c>
      <c r="N231" s="28"/>
      <c r="O231" s="28"/>
      <c r="P231" s="28">
        <f t="shared" si="40"/>
        <v>0</v>
      </c>
      <c r="Q231" s="28"/>
      <c r="R231" s="28"/>
      <c r="S231" s="28">
        <f t="shared" si="41"/>
        <v>0</v>
      </c>
      <c r="T231" s="28"/>
      <c r="U231" s="28"/>
      <c r="V231" s="28">
        <f t="shared" si="42"/>
        <v>0</v>
      </c>
      <c r="W231" s="28"/>
      <c r="X231" s="28"/>
      <c r="Y231" s="28">
        <f t="shared" si="43"/>
        <v>0</v>
      </c>
      <c r="Z231" s="28"/>
      <c r="AA231" s="28"/>
      <c r="AB231" s="28">
        <f t="shared" si="44"/>
        <v>0</v>
      </c>
    </row>
    <row r="232" spans="1:194" s="22" customFormat="1" x14ac:dyDescent="0.25">
      <c r="A232" s="27" t="s">
        <v>207</v>
      </c>
      <c r="B232" s="28">
        <f t="shared" si="36"/>
        <v>2442</v>
      </c>
      <c r="C232" s="28">
        <f t="shared" si="36"/>
        <v>2442</v>
      </c>
      <c r="D232" s="28">
        <f t="shared" si="36"/>
        <v>0</v>
      </c>
      <c r="E232" s="28"/>
      <c r="F232" s="28"/>
      <c r="G232" s="28">
        <f t="shared" si="37"/>
        <v>0</v>
      </c>
      <c r="H232" s="28"/>
      <c r="I232" s="28"/>
      <c r="J232" s="28">
        <f t="shared" si="38"/>
        <v>0</v>
      </c>
      <c r="K232" s="28">
        <v>2442</v>
      </c>
      <c r="L232" s="28">
        <v>2442</v>
      </c>
      <c r="M232" s="28">
        <f t="shared" si="39"/>
        <v>0</v>
      </c>
      <c r="N232" s="28"/>
      <c r="O232" s="28"/>
      <c r="P232" s="28">
        <f t="shared" si="40"/>
        <v>0</v>
      </c>
      <c r="Q232" s="28"/>
      <c r="R232" s="28"/>
      <c r="S232" s="28">
        <f t="shared" si="41"/>
        <v>0</v>
      </c>
      <c r="T232" s="28"/>
      <c r="U232" s="28"/>
      <c r="V232" s="28">
        <f t="shared" si="42"/>
        <v>0</v>
      </c>
      <c r="W232" s="28"/>
      <c r="X232" s="28"/>
      <c r="Y232" s="28">
        <f t="shared" si="43"/>
        <v>0</v>
      </c>
      <c r="Z232" s="28"/>
      <c r="AA232" s="28"/>
      <c r="AB232" s="28">
        <f t="shared" si="44"/>
        <v>0</v>
      </c>
    </row>
    <row r="233" spans="1:194" s="22" customFormat="1" x14ac:dyDescent="0.25">
      <c r="A233" s="27" t="s">
        <v>208</v>
      </c>
      <c r="B233" s="28">
        <f t="shared" si="36"/>
        <v>11040</v>
      </c>
      <c r="C233" s="28">
        <f t="shared" si="36"/>
        <v>11040</v>
      </c>
      <c r="D233" s="28">
        <f t="shared" si="36"/>
        <v>0</v>
      </c>
      <c r="E233" s="28"/>
      <c r="F233" s="28"/>
      <c r="G233" s="28">
        <f t="shared" si="37"/>
        <v>0</v>
      </c>
      <c r="H233" s="28"/>
      <c r="I233" s="28"/>
      <c r="J233" s="28">
        <f t="shared" si="38"/>
        <v>0</v>
      </c>
      <c r="K233" s="28">
        <f>4845+6195</f>
        <v>11040</v>
      </c>
      <c r="L233" s="28">
        <f>4845+6195</f>
        <v>11040</v>
      </c>
      <c r="M233" s="28">
        <f t="shared" si="39"/>
        <v>0</v>
      </c>
      <c r="N233" s="28"/>
      <c r="O233" s="28"/>
      <c r="P233" s="28">
        <f t="shared" si="40"/>
        <v>0</v>
      </c>
      <c r="Q233" s="28"/>
      <c r="R233" s="28"/>
      <c r="S233" s="28">
        <f t="shared" si="41"/>
        <v>0</v>
      </c>
      <c r="T233" s="28"/>
      <c r="U233" s="28"/>
      <c r="V233" s="28">
        <f t="shared" si="42"/>
        <v>0</v>
      </c>
      <c r="W233" s="28"/>
      <c r="X233" s="28"/>
      <c r="Y233" s="28">
        <f t="shared" si="43"/>
        <v>0</v>
      </c>
      <c r="Z233" s="28"/>
      <c r="AA233" s="28"/>
      <c r="AB233" s="28">
        <f t="shared" si="44"/>
        <v>0</v>
      </c>
    </row>
    <row r="234" spans="1:194" s="22" customFormat="1" ht="31.5" x14ac:dyDescent="0.25">
      <c r="A234" s="27" t="s">
        <v>196</v>
      </c>
      <c r="B234" s="28">
        <f t="shared" si="36"/>
        <v>2500</v>
      </c>
      <c r="C234" s="28">
        <f t="shared" si="36"/>
        <v>0</v>
      </c>
      <c r="D234" s="28">
        <f t="shared" si="36"/>
        <v>-2500</v>
      </c>
      <c r="E234" s="28"/>
      <c r="F234" s="28"/>
      <c r="G234" s="28">
        <f t="shared" si="37"/>
        <v>0</v>
      </c>
      <c r="H234" s="28"/>
      <c r="I234" s="28"/>
      <c r="J234" s="28">
        <f t="shared" si="38"/>
        <v>0</v>
      </c>
      <c r="K234" s="28">
        <v>2500</v>
      </c>
      <c r="L234" s="28">
        <f>0</f>
        <v>0</v>
      </c>
      <c r="M234" s="28">
        <f t="shared" si="39"/>
        <v>-2500</v>
      </c>
      <c r="N234" s="28"/>
      <c r="O234" s="28"/>
      <c r="P234" s="28">
        <f t="shared" si="40"/>
        <v>0</v>
      </c>
      <c r="Q234" s="28"/>
      <c r="R234" s="28"/>
      <c r="S234" s="28">
        <f t="shared" si="41"/>
        <v>0</v>
      </c>
      <c r="T234" s="28"/>
      <c r="U234" s="28"/>
      <c r="V234" s="28">
        <f t="shared" si="42"/>
        <v>0</v>
      </c>
      <c r="W234" s="28"/>
      <c r="X234" s="28"/>
      <c r="Y234" s="28">
        <f t="shared" si="43"/>
        <v>0</v>
      </c>
      <c r="Z234" s="28"/>
      <c r="AA234" s="28"/>
      <c r="AB234" s="28">
        <f t="shared" si="44"/>
        <v>0</v>
      </c>
    </row>
    <row r="235" spans="1:194" s="22" customFormat="1" ht="31.5" x14ac:dyDescent="0.25">
      <c r="A235" s="27" t="s">
        <v>209</v>
      </c>
      <c r="B235" s="28">
        <f t="shared" si="36"/>
        <v>4450</v>
      </c>
      <c r="C235" s="28">
        <f t="shared" si="36"/>
        <v>4450</v>
      </c>
      <c r="D235" s="28">
        <f t="shared" si="36"/>
        <v>0</v>
      </c>
      <c r="E235" s="28"/>
      <c r="F235" s="28"/>
      <c r="G235" s="28">
        <f t="shared" si="37"/>
        <v>0</v>
      </c>
      <c r="H235" s="28"/>
      <c r="I235" s="28"/>
      <c r="J235" s="28">
        <f t="shared" si="38"/>
        <v>0</v>
      </c>
      <c r="K235" s="28"/>
      <c r="L235" s="28"/>
      <c r="M235" s="28">
        <f t="shared" si="39"/>
        <v>0</v>
      </c>
      <c r="N235" s="28"/>
      <c r="O235" s="28"/>
      <c r="P235" s="28">
        <f t="shared" si="40"/>
        <v>0</v>
      </c>
      <c r="Q235" s="28"/>
      <c r="R235" s="28"/>
      <c r="S235" s="28">
        <f t="shared" si="41"/>
        <v>0</v>
      </c>
      <c r="T235" s="28">
        <v>4450</v>
      </c>
      <c r="U235" s="28">
        <v>4450</v>
      </c>
      <c r="V235" s="28">
        <f t="shared" si="42"/>
        <v>0</v>
      </c>
      <c r="W235" s="28"/>
      <c r="X235" s="28"/>
      <c r="Y235" s="28">
        <f t="shared" si="43"/>
        <v>0</v>
      </c>
      <c r="Z235" s="28"/>
      <c r="AA235" s="28"/>
      <c r="AB235" s="28">
        <f t="shared" si="44"/>
        <v>0</v>
      </c>
    </row>
    <row r="236" spans="1:194" s="22" customFormat="1" x14ac:dyDescent="0.25">
      <c r="A236" s="27" t="s">
        <v>210</v>
      </c>
      <c r="B236" s="28">
        <f t="shared" si="36"/>
        <v>5000</v>
      </c>
      <c r="C236" s="28">
        <f t="shared" si="36"/>
        <v>5000</v>
      </c>
      <c r="D236" s="28">
        <f t="shared" si="36"/>
        <v>0</v>
      </c>
      <c r="E236" s="28"/>
      <c r="F236" s="28"/>
      <c r="G236" s="28">
        <f t="shared" si="37"/>
        <v>0</v>
      </c>
      <c r="H236" s="28"/>
      <c r="I236" s="28"/>
      <c r="J236" s="28">
        <f t="shared" si="38"/>
        <v>0</v>
      </c>
      <c r="K236" s="28"/>
      <c r="L236" s="28"/>
      <c r="M236" s="28">
        <f t="shared" si="39"/>
        <v>0</v>
      </c>
      <c r="N236" s="28"/>
      <c r="O236" s="28"/>
      <c r="P236" s="28">
        <f t="shared" si="40"/>
        <v>0</v>
      </c>
      <c r="Q236" s="28"/>
      <c r="R236" s="28"/>
      <c r="S236" s="28">
        <f t="shared" si="41"/>
        <v>0</v>
      </c>
      <c r="T236" s="28">
        <v>5000</v>
      </c>
      <c r="U236" s="28">
        <v>5000</v>
      </c>
      <c r="V236" s="28">
        <f t="shared" si="42"/>
        <v>0</v>
      </c>
      <c r="W236" s="28"/>
      <c r="X236" s="28"/>
      <c r="Y236" s="28">
        <f t="shared" si="43"/>
        <v>0</v>
      </c>
      <c r="Z236" s="28"/>
      <c r="AA236" s="28"/>
      <c r="AB236" s="28">
        <f t="shared" si="44"/>
        <v>0</v>
      </c>
    </row>
    <row r="237" spans="1:194" s="22" customFormat="1" x14ac:dyDescent="0.25">
      <c r="A237" s="27" t="s">
        <v>211</v>
      </c>
      <c r="B237" s="28">
        <f t="shared" si="36"/>
        <v>19719</v>
      </c>
      <c r="C237" s="28">
        <f t="shared" si="36"/>
        <v>19719</v>
      </c>
      <c r="D237" s="28">
        <f t="shared" si="36"/>
        <v>0</v>
      </c>
      <c r="E237" s="28"/>
      <c r="F237" s="28"/>
      <c r="G237" s="28">
        <f t="shared" si="37"/>
        <v>0</v>
      </c>
      <c r="H237" s="28"/>
      <c r="I237" s="28"/>
      <c r="J237" s="28">
        <f t="shared" si="38"/>
        <v>0</v>
      </c>
      <c r="K237" s="28">
        <v>19719</v>
      </c>
      <c r="L237" s="28">
        <v>19719</v>
      </c>
      <c r="M237" s="28">
        <f t="shared" si="39"/>
        <v>0</v>
      </c>
      <c r="N237" s="28"/>
      <c r="O237" s="28"/>
      <c r="P237" s="28">
        <f t="shared" si="40"/>
        <v>0</v>
      </c>
      <c r="Q237" s="28"/>
      <c r="R237" s="28"/>
      <c r="S237" s="28">
        <f t="shared" si="41"/>
        <v>0</v>
      </c>
      <c r="T237" s="28"/>
      <c r="U237" s="28"/>
      <c r="V237" s="28">
        <f t="shared" si="42"/>
        <v>0</v>
      </c>
      <c r="W237" s="28"/>
      <c r="X237" s="28"/>
      <c r="Y237" s="28">
        <f t="shared" si="43"/>
        <v>0</v>
      </c>
      <c r="Z237" s="28"/>
      <c r="AA237" s="28"/>
      <c r="AB237" s="28">
        <f t="shared" si="44"/>
        <v>0</v>
      </c>
    </row>
    <row r="238" spans="1:194" s="22" customFormat="1" x14ac:dyDescent="0.25">
      <c r="A238" s="27" t="s">
        <v>212</v>
      </c>
      <c r="B238" s="28">
        <f t="shared" si="36"/>
        <v>6350</v>
      </c>
      <c r="C238" s="28">
        <f t="shared" si="36"/>
        <v>6350</v>
      </c>
      <c r="D238" s="28">
        <f t="shared" si="36"/>
        <v>0</v>
      </c>
      <c r="E238" s="28"/>
      <c r="F238" s="28"/>
      <c r="G238" s="28">
        <f t="shared" si="37"/>
        <v>0</v>
      </c>
      <c r="H238" s="28"/>
      <c r="I238" s="28"/>
      <c r="J238" s="28">
        <f t="shared" si="38"/>
        <v>0</v>
      </c>
      <c r="K238" s="28">
        <v>6350</v>
      </c>
      <c r="L238" s="28">
        <v>6350</v>
      </c>
      <c r="M238" s="28">
        <f t="shared" si="39"/>
        <v>0</v>
      </c>
      <c r="N238" s="28"/>
      <c r="O238" s="28"/>
      <c r="P238" s="28">
        <f t="shared" si="40"/>
        <v>0</v>
      </c>
      <c r="Q238" s="28"/>
      <c r="R238" s="28"/>
      <c r="S238" s="28">
        <f t="shared" si="41"/>
        <v>0</v>
      </c>
      <c r="T238" s="28"/>
      <c r="U238" s="28"/>
      <c r="V238" s="28">
        <f t="shared" si="42"/>
        <v>0</v>
      </c>
      <c r="W238" s="28"/>
      <c r="X238" s="28"/>
      <c r="Y238" s="28">
        <f t="shared" si="43"/>
        <v>0</v>
      </c>
      <c r="Z238" s="28"/>
      <c r="AA238" s="28"/>
      <c r="AB238" s="28">
        <f t="shared" si="44"/>
        <v>0</v>
      </c>
    </row>
    <row r="239" spans="1:194" s="22" customFormat="1" x14ac:dyDescent="0.25">
      <c r="A239" s="30" t="s">
        <v>213</v>
      </c>
      <c r="B239" s="28">
        <f t="shared" si="36"/>
        <v>28200</v>
      </c>
      <c r="C239" s="28">
        <f t="shared" si="36"/>
        <v>28200</v>
      </c>
      <c r="D239" s="28">
        <f t="shared" si="36"/>
        <v>0</v>
      </c>
      <c r="E239" s="28"/>
      <c r="F239" s="28"/>
      <c r="G239" s="28">
        <f t="shared" si="37"/>
        <v>0</v>
      </c>
      <c r="H239" s="28"/>
      <c r="I239" s="28"/>
      <c r="J239" s="28">
        <f t="shared" si="38"/>
        <v>0</v>
      </c>
      <c r="K239" s="28">
        <v>28200</v>
      </c>
      <c r="L239" s="28">
        <v>28200</v>
      </c>
      <c r="M239" s="28">
        <f t="shared" si="39"/>
        <v>0</v>
      </c>
      <c r="N239" s="28"/>
      <c r="O239" s="28"/>
      <c r="P239" s="28">
        <f t="shared" si="40"/>
        <v>0</v>
      </c>
      <c r="Q239" s="28"/>
      <c r="R239" s="28"/>
      <c r="S239" s="28">
        <f t="shared" si="41"/>
        <v>0</v>
      </c>
      <c r="T239" s="28"/>
      <c r="U239" s="28"/>
      <c r="V239" s="28">
        <f t="shared" si="42"/>
        <v>0</v>
      </c>
      <c r="W239" s="28"/>
      <c r="X239" s="28"/>
      <c r="Y239" s="28">
        <f t="shared" si="43"/>
        <v>0</v>
      </c>
      <c r="Z239" s="28"/>
      <c r="AA239" s="28"/>
      <c r="AB239" s="28">
        <f t="shared" si="44"/>
        <v>0</v>
      </c>
    </row>
    <row r="240" spans="1:194" s="22" customFormat="1" x14ac:dyDescent="0.25">
      <c r="A240" s="30" t="s">
        <v>214</v>
      </c>
      <c r="B240" s="28">
        <f t="shared" si="36"/>
        <v>1601</v>
      </c>
      <c r="C240" s="28">
        <f t="shared" si="36"/>
        <v>1601</v>
      </c>
      <c r="D240" s="28">
        <f t="shared" si="36"/>
        <v>0</v>
      </c>
      <c r="E240" s="28"/>
      <c r="F240" s="28"/>
      <c r="G240" s="28">
        <f t="shared" si="37"/>
        <v>0</v>
      </c>
      <c r="H240" s="28"/>
      <c r="I240" s="28"/>
      <c r="J240" s="28">
        <f t="shared" si="38"/>
        <v>0</v>
      </c>
      <c r="K240" s="28">
        <v>1601</v>
      </c>
      <c r="L240" s="28">
        <v>1601</v>
      </c>
      <c r="M240" s="28">
        <f t="shared" si="39"/>
        <v>0</v>
      </c>
      <c r="N240" s="28"/>
      <c r="O240" s="28"/>
      <c r="P240" s="28">
        <f t="shared" si="40"/>
        <v>0</v>
      </c>
      <c r="Q240" s="28"/>
      <c r="R240" s="28"/>
      <c r="S240" s="28">
        <f t="shared" si="41"/>
        <v>0</v>
      </c>
      <c r="T240" s="28"/>
      <c r="U240" s="28"/>
      <c r="V240" s="28">
        <f t="shared" si="42"/>
        <v>0</v>
      </c>
      <c r="W240" s="28"/>
      <c r="X240" s="28"/>
      <c r="Y240" s="28">
        <f t="shared" si="43"/>
        <v>0</v>
      </c>
      <c r="Z240" s="28"/>
      <c r="AA240" s="28"/>
      <c r="AB240" s="28">
        <f t="shared" si="44"/>
        <v>0</v>
      </c>
    </row>
    <row r="241" spans="1:194" s="22" customFormat="1" x14ac:dyDescent="0.25">
      <c r="A241" s="27" t="s">
        <v>215</v>
      </c>
      <c r="B241" s="28">
        <f t="shared" si="36"/>
        <v>3986</v>
      </c>
      <c r="C241" s="28">
        <f t="shared" si="36"/>
        <v>3986</v>
      </c>
      <c r="D241" s="28">
        <f t="shared" si="36"/>
        <v>0</v>
      </c>
      <c r="E241" s="28"/>
      <c r="F241" s="28"/>
      <c r="G241" s="28">
        <f t="shared" si="37"/>
        <v>0</v>
      </c>
      <c r="H241" s="28"/>
      <c r="I241" s="28"/>
      <c r="J241" s="28">
        <f t="shared" si="38"/>
        <v>0</v>
      </c>
      <c r="K241" s="28">
        <v>3986</v>
      </c>
      <c r="L241" s="28">
        <v>3986</v>
      </c>
      <c r="M241" s="28">
        <f t="shared" si="39"/>
        <v>0</v>
      </c>
      <c r="N241" s="28"/>
      <c r="O241" s="28"/>
      <c r="P241" s="28">
        <f t="shared" si="40"/>
        <v>0</v>
      </c>
      <c r="Q241" s="28"/>
      <c r="R241" s="28"/>
      <c r="S241" s="28">
        <f t="shared" si="41"/>
        <v>0</v>
      </c>
      <c r="T241" s="28"/>
      <c r="U241" s="28"/>
      <c r="V241" s="28">
        <f t="shared" si="42"/>
        <v>0</v>
      </c>
      <c r="W241" s="28"/>
      <c r="X241" s="28"/>
      <c r="Y241" s="28">
        <f t="shared" si="43"/>
        <v>0</v>
      </c>
      <c r="Z241" s="28"/>
      <c r="AA241" s="28"/>
      <c r="AB241" s="28">
        <f t="shared" si="44"/>
        <v>0</v>
      </c>
    </row>
    <row r="242" spans="1:194" s="22" customFormat="1" x14ac:dyDescent="0.25">
      <c r="A242" s="19" t="s">
        <v>182</v>
      </c>
      <c r="B242" s="20">
        <f t="shared" si="36"/>
        <v>0</v>
      </c>
      <c r="C242" s="20">
        <f t="shared" si="36"/>
        <v>0</v>
      </c>
      <c r="D242" s="20">
        <f t="shared" si="36"/>
        <v>0</v>
      </c>
      <c r="E242" s="20">
        <f>SUM(E243:E243)</f>
        <v>0</v>
      </c>
      <c r="F242" s="20">
        <f>SUM(F243:F243)</f>
        <v>0</v>
      </c>
      <c r="G242" s="20">
        <f t="shared" si="37"/>
        <v>0</v>
      </c>
      <c r="H242" s="20">
        <f>SUM(H243:H243)</f>
        <v>0</v>
      </c>
      <c r="I242" s="20">
        <f>SUM(I243:I243)</f>
        <v>0</v>
      </c>
      <c r="J242" s="20">
        <f t="shared" si="38"/>
        <v>0</v>
      </c>
      <c r="K242" s="20">
        <f>SUM(K243:K243)</f>
        <v>0</v>
      </c>
      <c r="L242" s="20">
        <f>SUM(L243:L243)</f>
        <v>0</v>
      </c>
      <c r="M242" s="20">
        <f t="shared" si="39"/>
        <v>0</v>
      </c>
      <c r="N242" s="20">
        <f>SUM(N243:N243)</f>
        <v>0</v>
      </c>
      <c r="O242" s="20">
        <f>SUM(O243:O243)</f>
        <v>0</v>
      </c>
      <c r="P242" s="20">
        <f t="shared" si="40"/>
        <v>0</v>
      </c>
      <c r="Q242" s="20">
        <f>SUM(Q243:Q243)</f>
        <v>0</v>
      </c>
      <c r="R242" s="20">
        <f>SUM(R243:R243)</f>
        <v>0</v>
      </c>
      <c r="S242" s="20">
        <f t="shared" si="41"/>
        <v>0</v>
      </c>
      <c r="T242" s="20">
        <f>SUM(T243:T243)</f>
        <v>0</v>
      </c>
      <c r="U242" s="20">
        <f>SUM(U243:U243)</f>
        <v>0</v>
      </c>
      <c r="V242" s="20">
        <f t="shared" si="42"/>
        <v>0</v>
      </c>
      <c r="W242" s="20">
        <f>SUM(W243:W243)</f>
        <v>0</v>
      </c>
      <c r="X242" s="20">
        <f>SUM(X243:X243)</f>
        <v>0</v>
      </c>
      <c r="Y242" s="20">
        <f t="shared" si="43"/>
        <v>0</v>
      </c>
      <c r="Z242" s="20">
        <f>SUM(Z243:Z243)</f>
        <v>0</v>
      </c>
      <c r="AA242" s="20">
        <f>SUM(AA243:AA243)</f>
        <v>0</v>
      </c>
      <c r="AB242" s="20">
        <f t="shared" si="44"/>
        <v>0</v>
      </c>
    </row>
    <row r="243" spans="1:194" s="22" customFormat="1" x14ac:dyDescent="0.25">
      <c r="A243" s="27"/>
      <c r="B243" s="28">
        <f t="shared" si="36"/>
        <v>0</v>
      </c>
      <c r="C243" s="28">
        <f t="shared" si="36"/>
        <v>0</v>
      </c>
      <c r="D243" s="28">
        <f t="shared" si="36"/>
        <v>0</v>
      </c>
      <c r="E243" s="28"/>
      <c r="F243" s="28"/>
      <c r="G243" s="28">
        <f t="shared" si="37"/>
        <v>0</v>
      </c>
      <c r="H243" s="28"/>
      <c r="I243" s="28"/>
      <c r="J243" s="28">
        <f t="shared" si="38"/>
        <v>0</v>
      </c>
      <c r="K243" s="28"/>
      <c r="L243" s="28"/>
      <c r="M243" s="28">
        <f t="shared" si="39"/>
        <v>0</v>
      </c>
      <c r="N243" s="28"/>
      <c r="O243" s="28"/>
      <c r="P243" s="28">
        <f t="shared" si="40"/>
        <v>0</v>
      </c>
      <c r="Q243" s="28"/>
      <c r="R243" s="28"/>
      <c r="S243" s="28">
        <f t="shared" si="41"/>
        <v>0</v>
      </c>
      <c r="T243" s="28"/>
      <c r="U243" s="28"/>
      <c r="V243" s="28">
        <f t="shared" si="42"/>
        <v>0</v>
      </c>
      <c r="W243" s="28"/>
      <c r="X243" s="28"/>
      <c r="Y243" s="28">
        <f t="shared" si="43"/>
        <v>0</v>
      </c>
      <c r="Z243" s="28"/>
      <c r="AA243" s="28"/>
      <c r="AB243" s="28">
        <f t="shared" si="44"/>
        <v>0</v>
      </c>
    </row>
    <row r="244" spans="1:194" s="22" customFormat="1" x14ac:dyDescent="0.25">
      <c r="A244" s="19" t="s">
        <v>216</v>
      </c>
      <c r="B244" s="20">
        <f t="shared" si="36"/>
        <v>73851</v>
      </c>
      <c r="C244" s="20">
        <f t="shared" si="36"/>
        <v>77954</v>
      </c>
      <c r="D244" s="20">
        <f t="shared" si="36"/>
        <v>4103</v>
      </c>
      <c r="E244" s="20">
        <f>SUM(E245:E253)</f>
        <v>0</v>
      </c>
      <c r="F244" s="20">
        <f>SUM(F245:F253)</f>
        <v>0</v>
      </c>
      <c r="G244" s="20">
        <f t="shared" si="37"/>
        <v>0</v>
      </c>
      <c r="H244" s="20">
        <f>SUM(H245:H253)</f>
        <v>0</v>
      </c>
      <c r="I244" s="20">
        <f>SUM(I245:I253)</f>
        <v>0</v>
      </c>
      <c r="J244" s="20">
        <f t="shared" si="38"/>
        <v>0</v>
      </c>
      <c r="K244" s="20">
        <f>SUM(K245:K253)</f>
        <v>70336</v>
      </c>
      <c r="L244" s="20">
        <f>SUM(L245:L253)</f>
        <v>74439</v>
      </c>
      <c r="M244" s="20">
        <f t="shared" si="39"/>
        <v>4103</v>
      </c>
      <c r="N244" s="20">
        <f>SUM(N245:N253)</f>
        <v>3515</v>
      </c>
      <c r="O244" s="20">
        <f>SUM(O245:O253)</f>
        <v>3515</v>
      </c>
      <c r="P244" s="20">
        <f t="shared" si="40"/>
        <v>0</v>
      </c>
      <c r="Q244" s="20">
        <f>SUM(Q245:Q253)</f>
        <v>0</v>
      </c>
      <c r="R244" s="20">
        <f>SUM(R245:R253)</f>
        <v>0</v>
      </c>
      <c r="S244" s="20">
        <f t="shared" si="41"/>
        <v>0</v>
      </c>
      <c r="T244" s="20">
        <f>SUM(T245:T253)</f>
        <v>0</v>
      </c>
      <c r="U244" s="20">
        <f>SUM(U245:U253)</f>
        <v>0</v>
      </c>
      <c r="V244" s="20">
        <f t="shared" si="42"/>
        <v>0</v>
      </c>
      <c r="W244" s="20">
        <f>SUM(W245:W253)</f>
        <v>0</v>
      </c>
      <c r="X244" s="20">
        <f>SUM(X245:X253)</f>
        <v>0</v>
      </c>
      <c r="Y244" s="20">
        <f t="shared" si="43"/>
        <v>0</v>
      </c>
      <c r="Z244" s="20">
        <f>SUM(Z245:Z253)</f>
        <v>0</v>
      </c>
      <c r="AA244" s="20">
        <f>SUM(AA245:AA253)</f>
        <v>0</v>
      </c>
      <c r="AB244" s="20">
        <f t="shared" si="44"/>
        <v>0</v>
      </c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  <c r="CJ244" s="21"/>
      <c r="CK244" s="21"/>
      <c r="CL244" s="21"/>
      <c r="CM244" s="21"/>
      <c r="CN244" s="21"/>
      <c r="CO244" s="21"/>
      <c r="CP244" s="21"/>
      <c r="CQ244" s="21"/>
      <c r="CR244" s="21"/>
      <c r="CS244" s="21"/>
      <c r="CT244" s="21"/>
      <c r="CU244" s="21"/>
      <c r="CV244" s="21"/>
      <c r="CW244" s="21"/>
      <c r="CX244" s="21"/>
      <c r="CY244" s="21"/>
      <c r="CZ244" s="21"/>
      <c r="DA244" s="21"/>
      <c r="DB244" s="21"/>
      <c r="DC244" s="21"/>
      <c r="DD244" s="21"/>
      <c r="DE244" s="21"/>
      <c r="DF244" s="21"/>
      <c r="DG244" s="21"/>
      <c r="DH244" s="21"/>
      <c r="DI244" s="21"/>
      <c r="DJ244" s="21"/>
      <c r="DK244" s="21"/>
      <c r="DL244" s="21"/>
      <c r="DM244" s="21"/>
      <c r="DN244" s="21"/>
      <c r="DO244" s="21"/>
      <c r="DP244" s="21"/>
      <c r="DQ244" s="21"/>
      <c r="DR244" s="21"/>
      <c r="DS244" s="21"/>
      <c r="DT244" s="21"/>
      <c r="DU244" s="21"/>
      <c r="DV244" s="21"/>
      <c r="DW244" s="21"/>
      <c r="DX244" s="21"/>
      <c r="DY244" s="21"/>
      <c r="DZ244" s="21"/>
      <c r="EA244" s="21"/>
      <c r="EB244" s="21"/>
      <c r="EC244" s="21"/>
      <c r="ED244" s="21"/>
      <c r="EE244" s="21"/>
      <c r="EF244" s="21"/>
      <c r="EG244" s="21"/>
      <c r="EH244" s="21"/>
      <c r="EI244" s="21"/>
      <c r="EJ244" s="21"/>
      <c r="EK244" s="21"/>
      <c r="EL244" s="21"/>
      <c r="EM244" s="21"/>
      <c r="EN244" s="21"/>
      <c r="EO244" s="21"/>
      <c r="EP244" s="21"/>
      <c r="EQ244" s="21"/>
      <c r="ER244" s="21"/>
      <c r="ES244" s="21"/>
      <c r="ET244" s="21"/>
      <c r="EU244" s="21"/>
      <c r="EV244" s="21"/>
      <c r="EW244" s="21"/>
      <c r="EX244" s="21"/>
      <c r="EY244" s="21"/>
      <c r="EZ244" s="21"/>
      <c r="FA244" s="21"/>
      <c r="FB244" s="21"/>
      <c r="FC244" s="21"/>
      <c r="FD244" s="21"/>
      <c r="FE244" s="21"/>
      <c r="FF244" s="21"/>
      <c r="FG244" s="21"/>
      <c r="FH244" s="21"/>
      <c r="FI244" s="21"/>
      <c r="FJ244" s="21"/>
      <c r="FK244" s="21"/>
      <c r="FL244" s="21"/>
      <c r="FM244" s="21"/>
      <c r="FN244" s="21"/>
      <c r="FO244" s="21"/>
      <c r="FP244" s="21"/>
      <c r="FQ244" s="21"/>
      <c r="FR244" s="21"/>
      <c r="FS244" s="21"/>
      <c r="FT244" s="21"/>
      <c r="FU244" s="21"/>
      <c r="FV244" s="21"/>
      <c r="FW244" s="21"/>
      <c r="FX244" s="21"/>
      <c r="FY244" s="21"/>
      <c r="FZ244" s="21"/>
      <c r="GA244" s="21"/>
      <c r="GB244" s="21"/>
      <c r="GC244" s="21"/>
      <c r="GD244" s="21"/>
      <c r="GE244" s="21"/>
      <c r="GF244" s="21"/>
      <c r="GG244" s="21"/>
      <c r="GH244" s="21"/>
      <c r="GI244" s="21"/>
      <c r="GJ244" s="21"/>
      <c r="GK244" s="21"/>
      <c r="GL244" s="21"/>
    </row>
    <row r="245" spans="1:194" s="22" customFormat="1" x14ac:dyDescent="0.25">
      <c r="A245" s="27" t="s">
        <v>217</v>
      </c>
      <c r="B245" s="28">
        <f t="shared" si="36"/>
        <v>8000</v>
      </c>
      <c r="C245" s="28">
        <f t="shared" si="36"/>
        <v>8000</v>
      </c>
      <c r="D245" s="28">
        <f t="shared" si="36"/>
        <v>0</v>
      </c>
      <c r="E245" s="28"/>
      <c r="F245" s="28"/>
      <c r="G245" s="28">
        <f t="shared" si="37"/>
        <v>0</v>
      </c>
      <c r="H245" s="28"/>
      <c r="I245" s="28"/>
      <c r="J245" s="28">
        <f t="shared" si="38"/>
        <v>0</v>
      </c>
      <c r="K245" s="28">
        <v>8000</v>
      </c>
      <c r="L245" s="28">
        <v>8000</v>
      </c>
      <c r="M245" s="28">
        <f t="shared" si="39"/>
        <v>0</v>
      </c>
      <c r="N245" s="28"/>
      <c r="O245" s="28"/>
      <c r="P245" s="28">
        <f t="shared" si="40"/>
        <v>0</v>
      </c>
      <c r="Q245" s="28"/>
      <c r="R245" s="28"/>
      <c r="S245" s="28">
        <f t="shared" si="41"/>
        <v>0</v>
      </c>
      <c r="T245" s="28"/>
      <c r="U245" s="28"/>
      <c r="V245" s="28">
        <f t="shared" si="42"/>
        <v>0</v>
      </c>
      <c r="W245" s="28"/>
      <c r="X245" s="28"/>
      <c r="Y245" s="28">
        <f t="shared" si="43"/>
        <v>0</v>
      </c>
      <c r="Z245" s="28"/>
      <c r="AA245" s="28"/>
      <c r="AB245" s="28">
        <f t="shared" si="44"/>
        <v>0</v>
      </c>
    </row>
    <row r="246" spans="1:194" s="22" customFormat="1" x14ac:dyDescent="0.25">
      <c r="A246" s="30" t="s">
        <v>218</v>
      </c>
      <c r="B246" s="28">
        <f t="shared" si="36"/>
        <v>4668</v>
      </c>
      <c r="C246" s="28">
        <f t="shared" si="36"/>
        <v>4668</v>
      </c>
      <c r="D246" s="28">
        <f t="shared" si="36"/>
        <v>0</v>
      </c>
      <c r="E246" s="28"/>
      <c r="F246" s="28"/>
      <c r="G246" s="28">
        <f t="shared" si="37"/>
        <v>0</v>
      </c>
      <c r="H246" s="28"/>
      <c r="I246" s="28"/>
      <c r="J246" s="28">
        <f t="shared" si="38"/>
        <v>0</v>
      </c>
      <c r="K246" s="28">
        <v>4668</v>
      </c>
      <c r="L246" s="28">
        <v>4668</v>
      </c>
      <c r="M246" s="28">
        <f t="shared" si="39"/>
        <v>0</v>
      </c>
      <c r="N246" s="28"/>
      <c r="O246" s="28"/>
      <c r="P246" s="28">
        <f t="shared" si="40"/>
        <v>0</v>
      </c>
      <c r="Q246" s="28"/>
      <c r="R246" s="28"/>
      <c r="S246" s="28">
        <f t="shared" si="41"/>
        <v>0</v>
      </c>
      <c r="T246" s="28"/>
      <c r="U246" s="28"/>
      <c r="V246" s="28">
        <f t="shared" si="42"/>
        <v>0</v>
      </c>
      <c r="W246" s="28"/>
      <c r="X246" s="28"/>
      <c r="Y246" s="28">
        <f t="shared" si="43"/>
        <v>0</v>
      </c>
      <c r="Z246" s="28"/>
      <c r="AA246" s="28"/>
      <c r="AB246" s="28">
        <f t="shared" si="44"/>
        <v>0</v>
      </c>
    </row>
    <row r="247" spans="1:194" s="22" customFormat="1" x14ac:dyDescent="0.25">
      <c r="A247" s="30" t="s">
        <v>219</v>
      </c>
      <c r="B247" s="28">
        <f t="shared" si="36"/>
        <v>10824</v>
      </c>
      <c r="C247" s="28">
        <f t="shared" si="36"/>
        <v>10824</v>
      </c>
      <c r="D247" s="28">
        <f t="shared" si="36"/>
        <v>0</v>
      </c>
      <c r="E247" s="28"/>
      <c r="F247" s="28"/>
      <c r="G247" s="28">
        <f t="shared" si="37"/>
        <v>0</v>
      </c>
      <c r="H247" s="28"/>
      <c r="I247" s="28"/>
      <c r="J247" s="28">
        <f t="shared" si="38"/>
        <v>0</v>
      </c>
      <c r="K247" s="28">
        <f>5904+4920</f>
        <v>10824</v>
      </c>
      <c r="L247" s="28">
        <f>5904+4920</f>
        <v>10824</v>
      </c>
      <c r="M247" s="28">
        <f t="shared" si="39"/>
        <v>0</v>
      </c>
      <c r="N247" s="28"/>
      <c r="O247" s="28"/>
      <c r="P247" s="28">
        <f t="shared" si="40"/>
        <v>0</v>
      </c>
      <c r="Q247" s="28"/>
      <c r="R247" s="28"/>
      <c r="S247" s="28">
        <f t="shared" si="41"/>
        <v>0</v>
      </c>
      <c r="T247" s="28"/>
      <c r="U247" s="28"/>
      <c r="V247" s="28">
        <f t="shared" si="42"/>
        <v>0</v>
      </c>
      <c r="W247" s="28"/>
      <c r="X247" s="28"/>
      <c r="Y247" s="28">
        <f t="shared" si="43"/>
        <v>0</v>
      </c>
      <c r="Z247" s="28"/>
      <c r="AA247" s="28"/>
      <c r="AB247" s="28">
        <f t="shared" si="44"/>
        <v>0</v>
      </c>
    </row>
    <row r="248" spans="1:194" s="22" customFormat="1" x14ac:dyDescent="0.25">
      <c r="A248" s="30" t="s">
        <v>220</v>
      </c>
      <c r="B248" s="28">
        <f t="shared" si="36"/>
        <v>13620</v>
      </c>
      <c r="C248" s="28">
        <f t="shared" si="36"/>
        <v>13620</v>
      </c>
      <c r="D248" s="28">
        <f t="shared" si="36"/>
        <v>0</v>
      </c>
      <c r="E248" s="28"/>
      <c r="F248" s="28"/>
      <c r="G248" s="28">
        <f t="shared" si="37"/>
        <v>0</v>
      </c>
      <c r="H248" s="28"/>
      <c r="I248" s="28"/>
      <c r="J248" s="28">
        <f t="shared" si="38"/>
        <v>0</v>
      </c>
      <c r="K248" s="28">
        <v>13620</v>
      </c>
      <c r="L248" s="28">
        <v>13620</v>
      </c>
      <c r="M248" s="28">
        <f t="shared" si="39"/>
        <v>0</v>
      </c>
      <c r="N248" s="28"/>
      <c r="O248" s="28"/>
      <c r="P248" s="28">
        <f t="shared" si="40"/>
        <v>0</v>
      </c>
      <c r="Q248" s="28"/>
      <c r="R248" s="28"/>
      <c r="S248" s="28">
        <f t="shared" si="41"/>
        <v>0</v>
      </c>
      <c r="T248" s="28"/>
      <c r="U248" s="28"/>
      <c r="V248" s="28">
        <f t="shared" si="42"/>
        <v>0</v>
      </c>
      <c r="W248" s="28"/>
      <c r="X248" s="28"/>
      <c r="Y248" s="28">
        <f t="shared" si="43"/>
        <v>0</v>
      </c>
      <c r="Z248" s="28"/>
      <c r="AA248" s="28"/>
      <c r="AB248" s="28">
        <f t="shared" si="44"/>
        <v>0</v>
      </c>
    </row>
    <row r="249" spans="1:194" s="22" customFormat="1" x14ac:dyDescent="0.25">
      <c r="A249" s="30" t="s">
        <v>221</v>
      </c>
      <c r="B249" s="28">
        <f t="shared" si="36"/>
        <v>9046</v>
      </c>
      <c r="C249" s="28">
        <f t="shared" si="36"/>
        <v>9046</v>
      </c>
      <c r="D249" s="28">
        <f t="shared" si="36"/>
        <v>0</v>
      </c>
      <c r="E249" s="28"/>
      <c r="F249" s="28"/>
      <c r="G249" s="28">
        <f t="shared" si="37"/>
        <v>0</v>
      </c>
      <c r="H249" s="28"/>
      <c r="I249" s="28"/>
      <c r="J249" s="28">
        <f t="shared" si="38"/>
        <v>0</v>
      </c>
      <c r="K249" s="28">
        <v>9046</v>
      </c>
      <c r="L249" s="28">
        <v>9046</v>
      </c>
      <c r="M249" s="28">
        <f t="shared" si="39"/>
        <v>0</v>
      </c>
      <c r="N249" s="28"/>
      <c r="O249" s="28"/>
      <c r="P249" s="28">
        <f t="shared" si="40"/>
        <v>0</v>
      </c>
      <c r="Q249" s="28"/>
      <c r="R249" s="28"/>
      <c r="S249" s="28">
        <f t="shared" si="41"/>
        <v>0</v>
      </c>
      <c r="T249" s="28"/>
      <c r="U249" s="28"/>
      <c r="V249" s="28">
        <f t="shared" si="42"/>
        <v>0</v>
      </c>
      <c r="W249" s="28"/>
      <c r="X249" s="28"/>
      <c r="Y249" s="28">
        <f t="shared" si="43"/>
        <v>0</v>
      </c>
      <c r="Z249" s="28"/>
      <c r="AA249" s="28"/>
      <c r="AB249" s="28">
        <f t="shared" si="44"/>
        <v>0</v>
      </c>
    </row>
    <row r="250" spans="1:194" s="22" customFormat="1" x14ac:dyDescent="0.25">
      <c r="A250" s="30" t="s">
        <v>222</v>
      </c>
      <c r="B250" s="28">
        <f t="shared" si="36"/>
        <v>5904</v>
      </c>
      <c r="C250" s="28">
        <f t="shared" si="36"/>
        <v>5904</v>
      </c>
      <c r="D250" s="28">
        <f t="shared" si="36"/>
        <v>0</v>
      </c>
      <c r="E250" s="28"/>
      <c r="F250" s="28"/>
      <c r="G250" s="28">
        <f t="shared" si="37"/>
        <v>0</v>
      </c>
      <c r="H250" s="28"/>
      <c r="I250" s="28"/>
      <c r="J250" s="28">
        <f t="shared" si="38"/>
        <v>0</v>
      </c>
      <c r="K250" s="28">
        <v>5904</v>
      </c>
      <c r="L250" s="28">
        <v>5904</v>
      </c>
      <c r="M250" s="28">
        <f t="shared" si="39"/>
        <v>0</v>
      </c>
      <c r="N250" s="28"/>
      <c r="O250" s="28"/>
      <c r="P250" s="28">
        <f t="shared" si="40"/>
        <v>0</v>
      </c>
      <c r="Q250" s="28"/>
      <c r="R250" s="28"/>
      <c r="S250" s="28">
        <f t="shared" si="41"/>
        <v>0</v>
      </c>
      <c r="T250" s="28"/>
      <c r="U250" s="28"/>
      <c r="V250" s="28">
        <f t="shared" si="42"/>
        <v>0</v>
      </c>
      <c r="W250" s="28"/>
      <c r="X250" s="28"/>
      <c r="Y250" s="28">
        <f t="shared" si="43"/>
        <v>0</v>
      </c>
      <c r="Z250" s="28"/>
      <c r="AA250" s="28"/>
      <c r="AB250" s="28">
        <f t="shared" si="44"/>
        <v>0</v>
      </c>
    </row>
    <row r="251" spans="1:194" s="22" customFormat="1" ht="31.5" x14ac:dyDescent="0.25">
      <c r="A251" s="30" t="s">
        <v>223</v>
      </c>
      <c r="B251" s="28">
        <f t="shared" si="36"/>
        <v>12771</v>
      </c>
      <c r="C251" s="28">
        <f t="shared" si="36"/>
        <v>12771</v>
      </c>
      <c r="D251" s="28">
        <f t="shared" si="36"/>
        <v>0</v>
      </c>
      <c r="E251" s="28"/>
      <c r="F251" s="28"/>
      <c r="G251" s="28">
        <f t="shared" si="37"/>
        <v>0</v>
      </c>
      <c r="H251" s="28"/>
      <c r="I251" s="28"/>
      <c r="J251" s="28">
        <f t="shared" si="38"/>
        <v>0</v>
      </c>
      <c r="K251" s="28">
        <v>12771</v>
      </c>
      <c r="L251" s="28">
        <v>12771</v>
      </c>
      <c r="M251" s="28">
        <f t="shared" si="39"/>
        <v>0</v>
      </c>
      <c r="N251" s="28"/>
      <c r="O251" s="28"/>
      <c r="P251" s="28">
        <f t="shared" si="40"/>
        <v>0</v>
      </c>
      <c r="Q251" s="28"/>
      <c r="R251" s="28"/>
      <c r="S251" s="28">
        <f t="shared" si="41"/>
        <v>0</v>
      </c>
      <c r="T251" s="28"/>
      <c r="U251" s="28"/>
      <c r="V251" s="28">
        <f t="shared" si="42"/>
        <v>0</v>
      </c>
      <c r="W251" s="28"/>
      <c r="X251" s="28"/>
      <c r="Y251" s="28">
        <f t="shared" si="43"/>
        <v>0</v>
      </c>
      <c r="Z251" s="28"/>
      <c r="AA251" s="28"/>
      <c r="AB251" s="28">
        <f t="shared" si="44"/>
        <v>0</v>
      </c>
    </row>
    <row r="252" spans="1:194" s="22" customFormat="1" x14ac:dyDescent="0.25">
      <c r="A252" s="27" t="s">
        <v>224</v>
      </c>
      <c r="B252" s="28">
        <f t="shared" si="36"/>
        <v>1399</v>
      </c>
      <c r="C252" s="28">
        <f t="shared" si="36"/>
        <v>1399</v>
      </c>
      <c r="D252" s="28">
        <f t="shared" si="36"/>
        <v>0</v>
      </c>
      <c r="E252" s="28"/>
      <c r="F252" s="28"/>
      <c r="G252" s="28">
        <f t="shared" si="37"/>
        <v>0</v>
      </c>
      <c r="H252" s="28"/>
      <c r="I252" s="28"/>
      <c r="J252" s="28">
        <f t="shared" si="38"/>
        <v>0</v>
      </c>
      <c r="K252" s="28">
        <v>1399</v>
      </c>
      <c r="L252" s="28">
        <v>1399</v>
      </c>
      <c r="M252" s="28">
        <f t="shared" si="39"/>
        <v>0</v>
      </c>
      <c r="N252" s="28"/>
      <c r="O252" s="28"/>
      <c r="P252" s="28">
        <f t="shared" si="40"/>
        <v>0</v>
      </c>
      <c r="Q252" s="28"/>
      <c r="R252" s="28"/>
      <c r="S252" s="28">
        <f t="shared" si="41"/>
        <v>0</v>
      </c>
      <c r="T252" s="28"/>
      <c r="U252" s="28"/>
      <c r="V252" s="28">
        <f t="shared" si="42"/>
        <v>0</v>
      </c>
      <c r="W252" s="28"/>
      <c r="X252" s="28"/>
      <c r="Y252" s="28">
        <f t="shared" si="43"/>
        <v>0</v>
      </c>
      <c r="Z252" s="28"/>
      <c r="AA252" s="28"/>
      <c r="AB252" s="28">
        <f t="shared" si="44"/>
        <v>0</v>
      </c>
    </row>
    <row r="253" spans="1:194" s="22" customFormat="1" x14ac:dyDescent="0.25">
      <c r="A253" s="27" t="s">
        <v>225</v>
      </c>
      <c r="B253" s="28">
        <f t="shared" si="36"/>
        <v>7619</v>
      </c>
      <c r="C253" s="28">
        <f t="shared" si="36"/>
        <v>11722</v>
      </c>
      <c r="D253" s="28">
        <f t="shared" si="36"/>
        <v>4103</v>
      </c>
      <c r="E253" s="28"/>
      <c r="F253" s="28"/>
      <c r="G253" s="28">
        <f t="shared" si="37"/>
        <v>0</v>
      </c>
      <c r="H253" s="28"/>
      <c r="I253" s="28"/>
      <c r="J253" s="28">
        <f t="shared" si="38"/>
        <v>0</v>
      </c>
      <c r="K253" s="28">
        <v>4104</v>
      </c>
      <c r="L253" s="28">
        <f>4104+4103</f>
        <v>8207</v>
      </c>
      <c r="M253" s="28">
        <f t="shared" si="39"/>
        <v>4103</v>
      </c>
      <c r="N253" s="28">
        <v>3515</v>
      </c>
      <c r="O253" s="28">
        <v>3515</v>
      </c>
      <c r="P253" s="28">
        <f t="shared" si="40"/>
        <v>0</v>
      </c>
      <c r="Q253" s="28"/>
      <c r="R253" s="28"/>
      <c r="S253" s="28">
        <f t="shared" si="41"/>
        <v>0</v>
      </c>
      <c r="T253" s="28"/>
      <c r="U253" s="28"/>
      <c r="V253" s="28">
        <f t="shared" si="42"/>
        <v>0</v>
      </c>
      <c r="W253" s="28"/>
      <c r="X253" s="28"/>
      <c r="Y253" s="28">
        <f t="shared" si="43"/>
        <v>0</v>
      </c>
      <c r="Z253" s="28"/>
      <c r="AA253" s="28"/>
      <c r="AB253" s="28">
        <f t="shared" si="44"/>
        <v>0</v>
      </c>
    </row>
    <row r="254" spans="1:194" s="22" customFormat="1" x14ac:dyDescent="0.25">
      <c r="A254" s="19" t="s">
        <v>188</v>
      </c>
      <c r="B254" s="20">
        <f t="shared" si="36"/>
        <v>2524250</v>
      </c>
      <c r="C254" s="20">
        <f t="shared" si="36"/>
        <v>2531744</v>
      </c>
      <c r="D254" s="20">
        <f t="shared" si="36"/>
        <v>7494</v>
      </c>
      <c r="E254" s="20">
        <f>SUM(E255:E256)</f>
        <v>83000</v>
      </c>
      <c r="F254" s="20">
        <f>SUM(F255:F256)</f>
        <v>83000</v>
      </c>
      <c r="G254" s="20">
        <f t="shared" si="37"/>
        <v>0</v>
      </c>
      <c r="H254" s="20">
        <f>SUM(H255:H256)</f>
        <v>0</v>
      </c>
      <c r="I254" s="20">
        <f>SUM(I255:I256)</f>
        <v>7494</v>
      </c>
      <c r="J254" s="20">
        <f t="shared" si="38"/>
        <v>7494</v>
      </c>
      <c r="K254" s="20">
        <f>SUM(K255:K256)</f>
        <v>0</v>
      </c>
      <c r="L254" s="20">
        <f>SUM(L255:L256)</f>
        <v>0</v>
      </c>
      <c r="M254" s="20">
        <f t="shared" si="39"/>
        <v>0</v>
      </c>
      <c r="N254" s="20">
        <f>SUM(N255:N256)</f>
        <v>0</v>
      </c>
      <c r="O254" s="20">
        <f>SUM(O255:O256)</f>
        <v>0</v>
      </c>
      <c r="P254" s="20">
        <f t="shared" si="40"/>
        <v>0</v>
      </c>
      <c r="Q254" s="20">
        <f>SUM(Q255:Q256)</f>
        <v>0</v>
      </c>
      <c r="R254" s="20">
        <f>SUM(R255:R256)</f>
        <v>0</v>
      </c>
      <c r="S254" s="20">
        <f t="shared" si="41"/>
        <v>0</v>
      </c>
      <c r="T254" s="20">
        <f>SUM(T255:T256)</f>
        <v>0</v>
      </c>
      <c r="U254" s="20">
        <f>SUM(U255:U256)</f>
        <v>0</v>
      </c>
      <c r="V254" s="20">
        <f t="shared" si="42"/>
        <v>0</v>
      </c>
      <c r="W254" s="20">
        <f>SUM(W255:W256)</f>
        <v>1379298</v>
      </c>
      <c r="X254" s="20">
        <f>SUM(X255:X256)</f>
        <v>1379298</v>
      </c>
      <c r="Y254" s="20">
        <f t="shared" si="43"/>
        <v>0</v>
      </c>
      <c r="Z254" s="20">
        <f>SUM(Z255:Z256)</f>
        <v>1061952</v>
      </c>
      <c r="AA254" s="20">
        <f>SUM(AA255:AA256)</f>
        <v>1061952</v>
      </c>
      <c r="AB254" s="20">
        <f t="shared" si="44"/>
        <v>0</v>
      </c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  <c r="BY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  <c r="CJ254" s="21"/>
      <c r="CK254" s="21"/>
      <c r="CL254" s="21"/>
      <c r="CM254" s="21"/>
      <c r="CN254" s="21"/>
      <c r="CO254" s="21"/>
      <c r="CP254" s="21"/>
      <c r="CQ254" s="21"/>
      <c r="CR254" s="21"/>
      <c r="CS254" s="21"/>
      <c r="CT254" s="21"/>
      <c r="CU254" s="21"/>
      <c r="CV254" s="21"/>
      <c r="CW254" s="21"/>
      <c r="CX254" s="21"/>
      <c r="CY254" s="21"/>
      <c r="CZ254" s="21"/>
      <c r="DA254" s="21"/>
      <c r="DB254" s="21"/>
      <c r="DC254" s="21"/>
      <c r="DD254" s="21"/>
      <c r="DE254" s="21"/>
      <c r="DF254" s="21"/>
      <c r="DG254" s="21"/>
      <c r="DH254" s="21"/>
      <c r="DI254" s="21"/>
      <c r="DJ254" s="21"/>
      <c r="DK254" s="21"/>
      <c r="DL254" s="21"/>
      <c r="DM254" s="21"/>
      <c r="DN254" s="21"/>
      <c r="DO254" s="21"/>
      <c r="DP254" s="21"/>
      <c r="DQ254" s="21"/>
      <c r="DR254" s="21"/>
      <c r="DS254" s="21"/>
      <c r="DT254" s="21"/>
      <c r="DU254" s="21"/>
      <c r="DV254" s="21"/>
      <c r="DW254" s="21"/>
      <c r="DX254" s="21"/>
      <c r="DY254" s="21"/>
      <c r="DZ254" s="21"/>
      <c r="EA254" s="21"/>
      <c r="EB254" s="21"/>
      <c r="EC254" s="21"/>
      <c r="ED254" s="21"/>
      <c r="EE254" s="21"/>
      <c r="EF254" s="21"/>
      <c r="EG254" s="21"/>
      <c r="EH254" s="21"/>
      <c r="EI254" s="21"/>
      <c r="EJ254" s="21"/>
      <c r="EK254" s="21"/>
      <c r="EL254" s="21"/>
      <c r="EM254" s="21"/>
      <c r="EN254" s="21"/>
      <c r="EO254" s="21"/>
      <c r="EP254" s="21"/>
      <c r="EQ254" s="21"/>
      <c r="ER254" s="21"/>
      <c r="ES254" s="21"/>
      <c r="ET254" s="21"/>
      <c r="EU254" s="21"/>
      <c r="EV254" s="21"/>
      <c r="EW254" s="21"/>
      <c r="EX254" s="21"/>
      <c r="EY254" s="21"/>
      <c r="EZ254" s="21"/>
      <c r="FA254" s="21"/>
      <c r="FB254" s="21"/>
      <c r="FC254" s="21"/>
      <c r="FD254" s="21"/>
      <c r="FE254" s="21"/>
      <c r="FF254" s="21"/>
      <c r="FG254" s="21"/>
      <c r="FH254" s="21"/>
      <c r="FI254" s="21"/>
      <c r="FJ254" s="21"/>
      <c r="FK254" s="21"/>
      <c r="FL254" s="21"/>
      <c r="FM254" s="21"/>
      <c r="FN254" s="21"/>
      <c r="FO254" s="21"/>
      <c r="FP254" s="21"/>
      <c r="FQ254" s="21"/>
      <c r="FR254" s="21"/>
      <c r="FS254" s="21"/>
      <c r="FT254" s="21"/>
      <c r="FU254" s="21"/>
      <c r="FV254" s="21"/>
      <c r="FW254" s="21"/>
      <c r="FX254" s="21"/>
      <c r="FY254" s="21"/>
      <c r="FZ254" s="21"/>
      <c r="GA254" s="21"/>
      <c r="GB254" s="21"/>
      <c r="GC254" s="21"/>
      <c r="GD254" s="21"/>
      <c r="GE254" s="21"/>
      <c r="GF254" s="21"/>
      <c r="GG254" s="21"/>
      <c r="GH254" s="21"/>
      <c r="GI254" s="21"/>
      <c r="GJ254" s="21"/>
      <c r="GK254" s="21"/>
      <c r="GL254" s="21"/>
    </row>
    <row r="255" spans="1:194" s="22" customFormat="1" ht="31.5" x14ac:dyDescent="0.25">
      <c r="A255" s="27" t="s">
        <v>226</v>
      </c>
      <c r="B255" s="28">
        <f t="shared" si="36"/>
        <v>1902010</v>
      </c>
      <c r="C255" s="28">
        <f t="shared" si="36"/>
        <v>1909504</v>
      </c>
      <c r="D255" s="28">
        <f t="shared" si="36"/>
        <v>7494</v>
      </c>
      <c r="E255" s="28">
        <v>83000</v>
      </c>
      <c r="F255" s="28">
        <v>83000</v>
      </c>
      <c r="G255" s="28">
        <f t="shared" si="37"/>
        <v>0</v>
      </c>
      <c r="H255" s="28">
        <f>0</f>
        <v>0</v>
      </c>
      <c r="I255" s="28">
        <f>7493+1</f>
        <v>7494</v>
      </c>
      <c r="J255" s="28">
        <f t="shared" si="38"/>
        <v>7494</v>
      </c>
      <c r="K255" s="28"/>
      <c r="L255" s="28"/>
      <c r="M255" s="28">
        <f t="shared" si="39"/>
        <v>0</v>
      </c>
      <c r="N255" s="28"/>
      <c r="O255" s="28"/>
      <c r="P255" s="28">
        <f t="shared" si="40"/>
        <v>0</v>
      </c>
      <c r="Q255" s="28"/>
      <c r="R255" s="28"/>
      <c r="S255" s="28">
        <f t="shared" si="41"/>
        <v>0</v>
      </c>
      <c r="T255" s="28"/>
      <c r="U255" s="28"/>
      <c r="V255" s="28">
        <f t="shared" si="42"/>
        <v>0</v>
      </c>
      <c r="W255" s="28">
        <v>757058</v>
      </c>
      <c r="X255" s="28">
        <v>757058</v>
      </c>
      <c r="Y255" s="28">
        <f t="shared" si="43"/>
        <v>0</v>
      </c>
      <c r="Z255" s="28">
        <f>1100000+22476+22476-83000</f>
        <v>1061952</v>
      </c>
      <c r="AA255" s="28">
        <f>1100000+22476+22476-83000</f>
        <v>1061952</v>
      </c>
      <c r="AB255" s="28">
        <f t="shared" si="44"/>
        <v>0</v>
      </c>
    </row>
    <row r="256" spans="1:194" s="22" customFormat="1" ht="31.5" x14ac:dyDescent="0.25">
      <c r="A256" s="27" t="s">
        <v>227</v>
      </c>
      <c r="B256" s="28">
        <f t="shared" si="36"/>
        <v>622240</v>
      </c>
      <c r="C256" s="28">
        <f t="shared" si="36"/>
        <v>622240</v>
      </c>
      <c r="D256" s="28">
        <f t="shared" si="36"/>
        <v>0</v>
      </c>
      <c r="E256" s="28"/>
      <c r="F256" s="28"/>
      <c r="G256" s="28">
        <f t="shared" si="37"/>
        <v>0</v>
      </c>
      <c r="H256" s="28"/>
      <c r="I256" s="28"/>
      <c r="J256" s="28">
        <f t="shared" si="38"/>
        <v>0</v>
      </c>
      <c r="K256" s="28"/>
      <c r="L256" s="28"/>
      <c r="M256" s="28">
        <f t="shared" si="39"/>
        <v>0</v>
      </c>
      <c r="N256" s="28"/>
      <c r="O256" s="28"/>
      <c r="P256" s="28">
        <f t="shared" si="40"/>
        <v>0</v>
      </c>
      <c r="Q256" s="28"/>
      <c r="R256" s="28"/>
      <c r="S256" s="28">
        <f t="shared" si="41"/>
        <v>0</v>
      </c>
      <c r="T256" s="28"/>
      <c r="U256" s="28"/>
      <c r="V256" s="28">
        <f t="shared" si="42"/>
        <v>0</v>
      </c>
      <c r="W256" s="28">
        <v>622240</v>
      </c>
      <c r="X256" s="28">
        <v>622240</v>
      </c>
      <c r="Y256" s="28">
        <f t="shared" si="43"/>
        <v>0</v>
      </c>
      <c r="Z256" s="28"/>
      <c r="AA256" s="28"/>
      <c r="AB256" s="28">
        <f t="shared" si="44"/>
        <v>0</v>
      </c>
    </row>
    <row r="257" spans="1:194" s="22" customFormat="1" x14ac:dyDescent="0.25">
      <c r="A257" s="19" t="s">
        <v>63</v>
      </c>
      <c r="B257" s="20">
        <f t="shared" si="36"/>
        <v>59300</v>
      </c>
      <c r="C257" s="20">
        <f t="shared" si="36"/>
        <v>59300</v>
      </c>
      <c r="D257" s="20">
        <f t="shared" si="36"/>
        <v>0</v>
      </c>
      <c r="E257" s="20">
        <f>SUM(E258,E261,E264,E266,E268)</f>
        <v>0</v>
      </c>
      <c r="F257" s="20">
        <f>SUM(F258,F261,F264,F266,F268)</f>
        <v>0</v>
      </c>
      <c r="G257" s="20">
        <f t="shared" si="37"/>
        <v>0</v>
      </c>
      <c r="H257" s="20">
        <f>SUM(H258,H261,H264,H266,H268)</f>
        <v>0</v>
      </c>
      <c r="I257" s="20">
        <f>SUM(I258,I261,I264,I266,I268)</f>
        <v>0</v>
      </c>
      <c r="J257" s="20">
        <f t="shared" si="38"/>
        <v>0</v>
      </c>
      <c r="K257" s="20">
        <f>SUM(K258,K261,K264,K266,K268)</f>
        <v>0</v>
      </c>
      <c r="L257" s="20">
        <f>SUM(L258,L261,L264,L266,L268)</f>
        <v>0</v>
      </c>
      <c r="M257" s="20">
        <f t="shared" si="39"/>
        <v>0</v>
      </c>
      <c r="N257" s="20">
        <f>SUM(N258,N261,N264,N266,N268)</f>
        <v>59300</v>
      </c>
      <c r="O257" s="20">
        <f>SUM(O258,O261,O264,O266,O268)</f>
        <v>59300</v>
      </c>
      <c r="P257" s="20">
        <f t="shared" si="40"/>
        <v>0</v>
      </c>
      <c r="Q257" s="20">
        <f>SUM(Q258,Q261,Q264,Q266,Q268)</f>
        <v>0</v>
      </c>
      <c r="R257" s="20">
        <f>SUM(R258,R261,R264,R266,R268)</f>
        <v>0</v>
      </c>
      <c r="S257" s="20">
        <f t="shared" si="41"/>
        <v>0</v>
      </c>
      <c r="T257" s="20">
        <f>SUM(T258,T261,T264,T266,T268)</f>
        <v>0</v>
      </c>
      <c r="U257" s="20">
        <f>SUM(U258,U261,U264,U266,U268)</f>
        <v>0</v>
      </c>
      <c r="V257" s="20">
        <f t="shared" si="42"/>
        <v>0</v>
      </c>
      <c r="W257" s="20">
        <f>SUM(W258,W261,W264,W266,W268)</f>
        <v>0</v>
      </c>
      <c r="X257" s="20">
        <f>SUM(X258,X261,X264,X266,X268)</f>
        <v>0</v>
      </c>
      <c r="Y257" s="20">
        <f t="shared" si="43"/>
        <v>0</v>
      </c>
      <c r="Z257" s="20">
        <f>SUM(Z258,Z261,Z264,Z266,Z268)</f>
        <v>0</v>
      </c>
      <c r="AA257" s="20">
        <f>SUM(AA258,AA261,AA264,AA266,AA268)</f>
        <v>0</v>
      </c>
      <c r="AB257" s="20">
        <f t="shared" si="44"/>
        <v>0</v>
      </c>
    </row>
    <row r="258" spans="1:194" s="22" customFormat="1" x14ac:dyDescent="0.25">
      <c r="A258" s="19" t="s">
        <v>168</v>
      </c>
      <c r="B258" s="20">
        <f t="shared" si="36"/>
        <v>10850</v>
      </c>
      <c r="C258" s="20">
        <f t="shared" si="36"/>
        <v>10850</v>
      </c>
      <c r="D258" s="20">
        <f t="shared" si="36"/>
        <v>0</v>
      </c>
      <c r="E258" s="20">
        <f>SUM(E259:E260)</f>
        <v>0</v>
      </c>
      <c r="F258" s="20">
        <f>SUM(F259:F260)</f>
        <v>0</v>
      </c>
      <c r="G258" s="20">
        <f t="shared" si="37"/>
        <v>0</v>
      </c>
      <c r="H258" s="20">
        <f>SUM(H259:H260)</f>
        <v>0</v>
      </c>
      <c r="I258" s="20">
        <f>SUM(I259:I260)</f>
        <v>0</v>
      </c>
      <c r="J258" s="20">
        <f t="shared" si="38"/>
        <v>0</v>
      </c>
      <c r="K258" s="20">
        <f>SUM(K259:K260)</f>
        <v>0</v>
      </c>
      <c r="L258" s="20">
        <f>SUM(L259:L260)</f>
        <v>0</v>
      </c>
      <c r="M258" s="20">
        <f t="shared" si="39"/>
        <v>0</v>
      </c>
      <c r="N258" s="20">
        <f>SUM(N259:N260)</f>
        <v>10850</v>
      </c>
      <c r="O258" s="20">
        <f>SUM(O259:O260)</f>
        <v>10850</v>
      </c>
      <c r="P258" s="20">
        <f t="shared" si="40"/>
        <v>0</v>
      </c>
      <c r="Q258" s="20">
        <f>SUM(Q259:Q260)</f>
        <v>0</v>
      </c>
      <c r="R258" s="20">
        <f>SUM(R259:R260)</f>
        <v>0</v>
      </c>
      <c r="S258" s="20">
        <f t="shared" si="41"/>
        <v>0</v>
      </c>
      <c r="T258" s="20">
        <f>SUM(T259:T260)</f>
        <v>0</v>
      </c>
      <c r="U258" s="20">
        <f>SUM(U259:U260)</f>
        <v>0</v>
      </c>
      <c r="V258" s="20">
        <f t="shared" si="42"/>
        <v>0</v>
      </c>
      <c r="W258" s="20">
        <f>SUM(W259:W260)</f>
        <v>0</v>
      </c>
      <c r="X258" s="20">
        <f>SUM(X259:X260)</f>
        <v>0</v>
      </c>
      <c r="Y258" s="20">
        <f t="shared" si="43"/>
        <v>0</v>
      </c>
      <c r="Z258" s="20">
        <f>SUM(Z259:Z260)</f>
        <v>0</v>
      </c>
      <c r="AA258" s="20">
        <f>SUM(AA259:AA260)</f>
        <v>0</v>
      </c>
      <c r="AB258" s="20">
        <f t="shared" si="44"/>
        <v>0</v>
      </c>
    </row>
    <row r="259" spans="1:194" s="22" customFormat="1" x14ac:dyDescent="0.25">
      <c r="A259" s="27" t="s">
        <v>228</v>
      </c>
      <c r="B259" s="28">
        <f t="shared" si="36"/>
        <v>3519</v>
      </c>
      <c r="C259" s="28">
        <f t="shared" si="36"/>
        <v>3519</v>
      </c>
      <c r="D259" s="28">
        <f t="shared" si="36"/>
        <v>0</v>
      </c>
      <c r="E259" s="28"/>
      <c r="F259" s="28"/>
      <c r="G259" s="28">
        <f t="shared" si="37"/>
        <v>0</v>
      </c>
      <c r="H259" s="28"/>
      <c r="I259" s="28"/>
      <c r="J259" s="28">
        <f t="shared" si="38"/>
        <v>0</v>
      </c>
      <c r="K259" s="28"/>
      <c r="L259" s="28"/>
      <c r="M259" s="28">
        <f t="shared" si="39"/>
        <v>0</v>
      </c>
      <c r="N259" s="28">
        <f>1575+1944</f>
        <v>3519</v>
      </c>
      <c r="O259" s="28">
        <f>1575+1944</f>
        <v>3519</v>
      </c>
      <c r="P259" s="28">
        <f t="shared" si="40"/>
        <v>0</v>
      </c>
      <c r="Q259" s="28"/>
      <c r="R259" s="28"/>
      <c r="S259" s="28">
        <f t="shared" si="41"/>
        <v>0</v>
      </c>
      <c r="T259" s="28"/>
      <c r="U259" s="28"/>
      <c r="V259" s="28">
        <f t="shared" si="42"/>
        <v>0</v>
      </c>
      <c r="W259" s="28"/>
      <c r="X259" s="28"/>
      <c r="Y259" s="28">
        <f t="shared" si="43"/>
        <v>0</v>
      </c>
      <c r="Z259" s="28"/>
      <c r="AA259" s="28"/>
      <c r="AB259" s="28">
        <f t="shared" si="44"/>
        <v>0</v>
      </c>
    </row>
    <row r="260" spans="1:194" s="22" customFormat="1" x14ac:dyDescent="0.25">
      <c r="A260" s="27" t="s">
        <v>229</v>
      </c>
      <c r="B260" s="28">
        <f t="shared" si="36"/>
        <v>7331</v>
      </c>
      <c r="C260" s="28">
        <f t="shared" si="36"/>
        <v>7331</v>
      </c>
      <c r="D260" s="28">
        <f t="shared" si="36"/>
        <v>0</v>
      </c>
      <c r="E260" s="28"/>
      <c r="F260" s="28"/>
      <c r="G260" s="28">
        <f t="shared" si="37"/>
        <v>0</v>
      </c>
      <c r="H260" s="28"/>
      <c r="I260" s="28"/>
      <c r="J260" s="28">
        <f t="shared" si="38"/>
        <v>0</v>
      </c>
      <c r="K260" s="28"/>
      <c r="L260" s="28"/>
      <c r="M260" s="28">
        <f t="shared" si="39"/>
        <v>0</v>
      </c>
      <c r="N260" s="28">
        <f>689+6642</f>
        <v>7331</v>
      </c>
      <c r="O260" s="28">
        <f>689+6642</f>
        <v>7331</v>
      </c>
      <c r="P260" s="28">
        <f t="shared" si="40"/>
        <v>0</v>
      </c>
      <c r="Q260" s="28"/>
      <c r="R260" s="28"/>
      <c r="S260" s="28">
        <f t="shared" si="41"/>
        <v>0</v>
      </c>
      <c r="T260" s="28"/>
      <c r="U260" s="28"/>
      <c r="V260" s="28">
        <f t="shared" si="42"/>
        <v>0</v>
      </c>
      <c r="W260" s="28"/>
      <c r="X260" s="28"/>
      <c r="Y260" s="28">
        <f t="shared" si="43"/>
        <v>0</v>
      </c>
      <c r="Z260" s="28"/>
      <c r="AA260" s="28"/>
      <c r="AB260" s="28">
        <f t="shared" si="44"/>
        <v>0</v>
      </c>
    </row>
    <row r="261" spans="1:194" s="22" customFormat="1" x14ac:dyDescent="0.25">
      <c r="A261" s="19" t="s">
        <v>176</v>
      </c>
      <c r="B261" s="20">
        <f t="shared" si="36"/>
        <v>8450</v>
      </c>
      <c r="C261" s="20">
        <f t="shared" si="36"/>
        <v>8450</v>
      </c>
      <c r="D261" s="20">
        <f t="shared" si="36"/>
        <v>0</v>
      </c>
      <c r="E261" s="20">
        <f>SUM(E262:E263)</f>
        <v>0</v>
      </c>
      <c r="F261" s="20">
        <f>SUM(F262:F263)</f>
        <v>0</v>
      </c>
      <c r="G261" s="20">
        <f t="shared" si="37"/>
        <v>0</v>
      </c>
      <c r="H261" s="20">
        <f>SUM(H262:H263)</f>
        <v>0</v>
      </c>
      <c r="I261" s="20">
        <f>SUM(I262:I263)</f>
        <v>0</v>
      </c>
      <c r="J261" s="20">
        <f t="shared" si="38"/>
        <v>0</v>
      </c>
      <c r="K261" s="20">
        <f>SUM(K262:K263)</f>
        <v>0</v>
      </c>
      <c r="L261" s="20">
        <f>SUM(L262:L263)</f>
        <v>0</v>
      </c>
      <c r="M261" s="20">
        <f t="shared" si="39"/>
        <v>0</v>
      </c>
      <c r="N261" s="20">
        <f>SUM(N262:N263)</f>
        <v>8450</v>
      </c>
      <c r="O261" s="20">
        <f>SUM(O262:O263)</f>
        <v>8450</v>
      </c>
      <c r="P261" s="20">
        <f t="shared" si="40"/>
        <v>0</v>
      </c>
      <c r="Q261" s="20">
        <f>SUM(Q262:Q263)</f>
        <v>0</v>
      </c>
      <c r="R261" s="20">
        <f>SUM(R262:R263)</f>
        <v>0</v>
      </c>
      <c r="S261" s="20">
        <f t="shared" si="41"/>
        <v>0</v>
      </c>
      <c r="T261" s="20">
        <f>SUM(T262:T263)</f>
        <v>0</v>
      </c>
      <c r="U261" s="20">
        <f>SUM(U262:U263)</f>
        <v>0</v>
      </c>
      <c r="V261" s="20">
        <f t="shared" si="42"/>
        <v>0</v>
      </c>
      <c r="W261" s="20">
        <f>SUM(W262:W263)</f>
        <v>0</v>
      </c>
      <c r="X261" s="20">
        <f>SUM(X262:X263)</f>
        <v>0</v>
      </c>
      <c r="Y261" s="20">
        <f t="shared" si="43"/>
        <v>0</v>
      </c>
      <c r="Z261" s="20">
        <f>SUM(Z262:Z263)</f>
        <v>0</v>
      </c>
      <c r="AA261" s="20">
        <f>SUM(AA262:AA263)</f>
        <v>0</v>
      </c>
      <c r="AB261" s="20">
        <f t="shared" si="44"/>
        <v>0</v>
      </c>
    </row>
    <row r="262" spans="1:194" s="22" customFormat="1" ht="47.25" x14ac:dyDescent="0.25">
      <c r="A262" s="27" t="s">
        <v>230</v>
      </c>
      <c r="B262" s="28">
        <f t="shared" si="36"/>
        <v>6950</v>
      </c>
      <c r="C262" s="28">
        <f t="shared" si="36"/>
        <v>6950</v>
      </c>
      <c r="D262" s="28">
        <f t="shared" si="36"/>
        <v>0</v>
      </c>
      <c r="E262" s="28"/>
      <c r="F262" s="28"/>
      <c r="G262" s="28">
        <f t="shared" si="37"/>
        <v>0</v>
      </c>
      <c r="H262" s="28"/>
      <c r="I262" s="28"/>
      <c r="J262" s="28">
        <f t="shared" si="38"/>
        <v>0</v>
      </c>
      <c r="K262" s="28"/>
      <c r="L262" s="28"/>
      <c r="M262" s="28">
        <f t="shared" si="39"/>
        <v>0</v>
      </c>
      <c r="N262" s="28">
        <v>6950</v>
      </c>
      <c r="O262" s="28">
        <v>6950</v>
      </c>
      <c r="P262" s="28">
        <f t="shared" si="40"/>
        <v>0</v>
      </c>
      <c r="Q262" s="28"/>
      <c r="R262" s="28"/>
      <c r="S262" s="28">
        <f t="shared" si="41"/>
        <v>0</v>
      </c>
      <c r="T262" s="28"/>
      <c r="U262" s="28"/>
      <c r="V262" s="28">
        <f t="shared" si="42"/>
        <v>0</v>
      </c>
      <c r="W262" s="28"/>
      <c r="X262" s="28"/>
      <c r="Y262" s="28">
        <f t="shared" si="43"/>
        <v>0</v>
      </c>
      <c r="Z262" s="28"/>
      <c r="AA262" s="28"/>
      <c r="AB262" s="28">
        <f t="shared" si="44"/>
        <v>0</v>
      </c>
    </row>
    <row r="263" spans="1:194" s="22" customFormat="1" x14ac:dyDescent="0.25">
      <c r="A263" s="27" t="s">
        <v>231</v>
      </c>
      <c r="B263" s="28">
        <f t="shared" si="36"/>
        <v>1500</v>
      </c>
      <c r="C263" s="28">
        <f t="shared" si="36"/>
        <v>1500</v>
      </c>
      <c r="D263" s="28">
        <f t="shared" si="36"/>
        <v>0</v>
      </c>
      <c r="E263" s="28"/>
      <c r="F263" s="28"/>
      <c r="G263" s="28">
        <f t="shared" si="37"/>
        <v>0</v>
      </c>
      <c r="H263" s="28"/>
      <c r="I263" s="28"/>
      <c r="J263" s="28">
        <f t="shared" si="38"/>
        <v>0</v>
      </c>
      <c r="K263" s="28"/>
      <c r="L263" s="28"/>
      <c r="M263" s="28">
        <f t="shared" si="39"/>
        <v>0</v>
      </c>
      <c r="N263" s="28">
        <v>1500</v>
      </c>
      <c r="O263" s="28">
        <v>1500</v>
      </c>
      <c r="P263" s="28">
        <f t="shared" si="40"/>
        <v>0</v>
      </c>
      <c r="Q263" s="28"/>
      <c r="R263" s="28"/>
      <c r="S263" s="28">
        <f t="shared" si="41"/>
        <v>0</v>
      </c>
      <c r="T263" s="28"/>
      <c r="U263" s="28"/>
      <c r="V263" s="28">
        <f t="shared" si="42"/>
        <v>0</v>
      </c>
      <c r="W263" s="28"/>
      <c r="X263" s="28"/>
      <c r="Y263" s="28">
        <f t="shared" si="43"/>
        <v>0</v>
      </c>
      <c r="Z263" s="28"/>
      <c r="AA263" s="28"/>
      <c r="AB263" s="28">
        <f t="shared" si="44"/>
        <v>0</v>
      </c>
    </row>
    <row r="264" spans="1:194" s="22" customFormat="1" x14ac:dyDescent="0.25">
      <c r="A264" s="19" t="s">
        <v>182</v>
      </c>
      <c r="B264" s="20">
        <f t="shared" si="36"/>
        <v>40000</v>
      </c>
      <c r="C264" s="20">
        <f t="shared" si="36"/>
        <v>40000</v>
      </c>
      <c r="D264" s="20">
        <f t="shared" si="36"/>
        <v>0</v>
      </c>
      <c r="E264" s="20">
        <f>SUM(E265)</f>
        <v>0</v>
      </c>
      <c r="F264" s="20">
        <f>SUM(F265)</f>
        <v>0</v>
      </c>
      <c r="G264" s="20">
        <f t="shared" si="37"/>
        <v>0</v>
      </c>
      <c r="H264" s="20">
        <f>SUM(H265)</f>
        <v>0</v>
      </c>
      <c r="I264" s="20">
        <f>SUM(I265)</f>
        <v>0</v>
      </c>
      <c r="J264" s="20">
        <f t="shared" si="38"/>
        <v>0</v>
      </c>
      <c r="K264" s="20">
        <f>SUM(K265)</f>
        <v>0</v>
      </c>
      <c r="L264" s="20">
        <f>SUM(L265)</f>
        <v>0</v>
      </c>
      <c r="M264" s="20">
        <f t="shared" si="39"/>
        <v>0</v>
      </c>
      <c r="N264" s="20">
        <f>SUM(N265)</f>
        <v>40000</v>
      </c>
      <c r="O264" s="20">
        <f>SUM(O265)</f>
        <v>40000</v>
      </c>
      <c r="P264" s="20">
        <f t="shared" si="40"/>
        <v>0</v>
      </c>
      <c r="Q264" s="20">
        <f>SUM(Q265)</f>
        <v>0</v>
      </c>
      <c r="R264" s="20">
        <f>SUM(R265)</f>
        <v>0</v>
      </c>
      <c r="S264" s="20">
        <f t="shared" si="41"/>
        <v>0</v>
      </c>
      <c r="T264" s="20">
        <f>SUM(T265)</f>
        <v>0</v>
      </c>
      <c r="U264" s="20">
        <f>SUM(U265)</f>
        <v>0</v>
      </c>
      <c r="V264" s="20">
        <f t="shared" si="42"/>
        <v>0</v>
      </c>
      <c r="W264" s="20">
        <f>SUM(W265)</f>
        <v>0</v>
      </c>
      <c r="X264" s="20">
        <f>SUM(X265)</f>
        <v>0</v>
      </c>
      <c r="Y264" s="20">
        <f t="shared" si="43"/>
        <v>0</v>
      </c>
      <c r="Z264" s="20">
        <f>SUM(Z265)</f>
        <v>0</v>
      </c>
      <c r="AA264" s="20">
        <f>SUM(AA265)</f>
        <v>0</v>
      </c>
      <c r="AB264" s="20">
        <f t="shared" si="44"/>
        <v>0</v>
      </c>
    </row>
    <row r="265" spans="1:194" s="21" customFormat="1" x14ac:dyDescent="0.25">
      <c r="A265" s="32" t="s">
        <v>232</v>
      </c>
      <c r="B265" s="28">
        <f t="shared" si="36"/>
        <v>40000</v>
      </c>
      <c r="C265" s="28">
        <f t="shared" si="36"/>
        <v>40000</v>
      </c>
      <c r="D265" s="28">
        <f t="shared" si="36"/>
        <v>0</v>
      </c>
      <c r="E265" s="28"/>
      <c r="F265" s="28"/>
      <c r="G265" s="28">
        <f t="shared" si="37"/>
        <v>0</v>
      </c>
      <c r="H265" s="28"/>
      <c r="I265" s="28"/>
      <c r="J265" s="28">
        <f t="shared" si="38"/>
        <v>0</v>
      </c>
      <c r="K265" s="28"/>
      <c r="L265" s="28"/>
      <c r="M265" s="28">
        <f t="shared" si="39"/>
        <v>0</v>
      </c>
      <c r="N265" s="28">
        <v>40000</v>
      </c>
      <c r="O265" s="28">
        <v>40000</v>
      </c>
      <c r="P265" s="28">
        <f t="shared" si="40"/>
        <v>0</v>
      </c>
      <c r="Q265" s="28"/>
      <c r="R265" s="28"/>
      <c r="S265" s="28">
        <f t="shared" si="41"/>
        <v>0</v>
      </c>
      <c r="T265" s="28"/>
      <c r="U265" s="28"/>
      <c r="V265" s="28">
        <f t="shared" si="42"/>
        <v>0</v>
      </c>
      <c r="W265" s="28"/>
      <c r="X265" s="28"/>
      <c r="Y265" s="28">
        <f t="shared" si="43"/>
        <v>0</v>
      </c>
      <c r="Z265" s="28"/>
      <c r="AA265" s="28"/>
      <c r="AB265" s="28">
        <f t="shared" si="44"/>
        <v>0</v>
      </c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  <c r="EW265" s="22"/>
      <c r="EX265" s="22"/>
      <c r="EY265" s="22"/>
      <c r="EZ265" s="22"/>
      <c r="FA265" s="22"/>
      <c r="FB265" s="22"/>
      <c r="FC265" s="22"/>
      <c r="FD265" s="22"/>
      <c r="FE265" s="22"/>
      <c r="FF265" s="22"/>
      <c r="FG265" s="22"/>
      <c r="FH265" s="22"/>
      <c r="FI265" s="22"/>
      <c r="FJ265" s="22"/>
      <c r="FK265" s="22"/>
      <c r="FL265" s="22"/>
      <c r="FM265" s="22"/>
      <c r="FN265" s="22"/>
      <c r="FO265" s="22"/>
      <c r="FP265" s="22"/>
      <c r="FQ265" s="22"/>
      <c r="FR265" s="22"/>
      <c r="FS265" s="22"/>
      <c r="FT265" s="22"/>
      <c r="FU265" s="22"/>
      <c r="FV265" s="22"/>
      <c r="FW265" s="22"/>
      <c r="FX265" s="22"/>
      <c r="FY265" s="22"/>
      <c r="FZ265" s="22"/>
      <c r="GA265" s="22"/>
      <c r="GB265" s="22"/>
      <c r="GC265" s="22"/>
      <c r="GD265" s="22"/>
      <c r="GE265" s="22"/>
      <c r="GF265" s="22"/>
      <c r="GG265" s="22"/>
      <c r="GH265" s="22"/>
      <c r="GI265" s="22"/>
      <c r="GJ265" s="22"/>
      <c r="GK265" s="22"/>
      <c r="GL265" s="22"/>
    </row>
    <row r="266" spans="1:194" s="22" customFormat="1" x14ac:dyDescent="0.25">
      <c r="A266" s="19" t="s">
        <v>216</v>
      </c>
      <c r="B266" s="20">
        <f t="shared" si="36"/>
        <v>0</v>
      </c>
      <c r="C266" s="20">
        <f t="shared" si="36"/>
        <v>0</v>
      </c>
      <c r="D266" s="20">
        <f t="shared" si="36"/>
        <v>0</v>
      </c>
      <c r="E266" s="20">
        <f>SUM(E267)</f>
        <v>0</v>
      </c>
      <c r="F266" s="20">
        <f>SUM(F267)</f>
        <v>0</v>
      </c>
      <c r="G266" s="20">
        <f t="shared" si="37"/>
        <v>0</v>
      </c>
      <c r="H266" s="20">
        <f>SUM(H267)</f>
        <v>0</v>
      </c>
      <c r="I266" s="20">
        <f>SUM(I267)</f>
        <v>0</v>
      </c>
      <c r="J266" s="20">
        <f t="shared" si="38"/>
        <v>0</v>
      </c>
      <c r="K266" s="20">
        <f>SUM(K267)</f>
        <v>0</v>
      </c>
      <c r="L266" s="20">
        <f>SUM(L267)</f>
        <v>0</v>
      </c>
      <c r="M266" s="20">
        <f t="shared" si="39"/>
        <v>0</v>
      </c>
      <c r="N266" s="20">
        <f>SUM(N267)</f>
        <v>0</v>
      </c>
      <c r="O266" s="20">
        <f>SUM(O267)</f>
        <v>0</v>
      </c>
      <c r="P266" s="20">
        <f t="shared" si="40"/>
        <v>0</v>
      </c>
      <c r="Q266" s="20">
        <f>SUM(Q267)</f>
        <v>0</v>
      </c>
      <c r="R266" s="20">
        <f>SUM(R267)</f>
        <v>0</v>
      </c>
      <c r="S266" s="20">
        <f t="shared" si="41"/>
        <v>0</v>
      </c>
      <c r="T266" s="20">
        <f>SUM(T267)</f>
        <v>0</v>
      </c>
      <c r="U266" s="20">
        <f>SUM(U267)</f>
        <v>0</v>
      </c>
      <c r="V266" s="20">
        <f t="shared" si="42"/>
        <v>0</v>
      </c>
      <c r="W266" s="20">
        <f>SUM(W267)</f>
        <v>0</v>
      </c>
      <c r="X266" s="20">
        <f>SUM(X267)</f>
        <v>0</v>
      </c>
      <c r="Y266" s="20">
        <f t="shared" si="43"/>
        <v>0</v>
      </c>
      <c r="Z266" s="20">
        <f>SUM(Z267)</f>
        <v>0</v>
      </c>
      <c r="AA266" s="20">
        <f>SUM(AA267)</f>
        <v>0</v>
      </c>
      <c r="AB266" s="20">
        <f t="shared" si="44"/>
        <v>0</v>
      </c>
    </row>
    <row r="267" spans="1:194" s="21" customFormat="1" x14ac:dyDescent="0.25">
      <c r="A267" s="32"/>
      <c r="B267" s="28">
        <f t="shared" si="36"/>
        <v>0</v>
      </c>
      <c r="C267" s="28">
        <f t="shared" si="36"/>
        <v>0</v>
      </c>
      <c r="D267" s="28">
        <f t="shared" si="36"/>
        <v>0</v>
      </c>
      <c r="E267" s="28"/>
      <c r="F267" s="28"/>
      <c r="G267" s="28">
        <f t="shared" si="37"/>
        <v>0</v>
      </c>
      <c r="H267" s="28"/>
      <c r="I267" s="28"/>
      <c r="J267" s="28">
        <f t="shared" si="38"/>
        <v>0</v>
      </c>
      <c r="K267" s="28"/>
      <c r="L267" s="28"/>
      <c r="M267" s="28">
        <f t="shared" si="39"/>
        <v>0</v>
      </c>
      <c r="N267" s="28"/>
      <c r="O267" s="28"/>
      <c r="P267" s="28">
        <f t="shared" si="40"/>
        <v>0</v>
      </c>
      <c r="Q267" s="28"/>
      <c r="R267" s="28"/>
      <c r="S267" s="28">
        <f t="shared" si="41"/>
        <v>0</v>
      </c>
      <c r="T267" s="28"/>
      <c r="U267" s="28"/>
      <c r="V267" s="28">
        <f t="shared" si="42"/>
        <v>0</v>
      </c>
      <c r="W267" s="28"/>
      <c r="X267" s="28"/>
      <c r="Y267" s="28">
        <f t="shared" si="43"/>
        <v>0</v>
      </c>
      <c r="Z267" s="28"/>
      <c r="AA267" s="28"/>
      <c r="AB267" s="28">
        <f t="shared" si="44"/>
        <v>0</v>
      </c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2"/>
      <c r="CR267" s="22"/>
      <c r="CS267" s="22"/>
      <c r="CT267" s="22"/>
      <c r="CU267" s="22"/>
      <c r="CV267" s="22"/>
      <c r="CW267" s="22"/>
      <c r="CX267" s="22"/>
      <c r="CY267" s="22"/>
      <c r="CZ267" s="22"/>
      <c r="DA267" s="22"/>
      <c r="DB267" s="22"/>
      <c r="DC267" s="22"/>
      <c r="DD267" s="22"/>
      <c r="DE267" s="22"/>
      <c r="DF267" s="22"/>
      <c r="DG267" s="22"/>
      <c r="DH267" s="22"/>
      <c r="DI267" s="22"/>
      <c r="DJ267" s="22"/>
      <c r="DK267" s="22"/>
      <c r="DL267" s="22"/>
      <c r="DM267" s="22"/>
      <c r="DN267" s="22"/>
      <c r="DO267" s="22"/>
      <c r="DP267" s="22"/>
      <c r="DQ267" s="22"/>
      <c r="DR267" s="22"/>
      <c r="DS267" s="22"/>
      <c r="DT267" s="22"/>
      <c r="DU267" s="22"/>
      <c r="DV267" s="22"/>
      <c r="DW267" s="22"/>
      <c r="DX267" s="22"/>
      <c r="DY267" s="22"/>
      <c r="DZ267" s="22"/>
      <c r="EA267" s="22"/>
      <c r="EB267" s="22"/>
      <c r="EC267" s="22"/>
      <c r="ED267" s="22"/>
      <c r="EE267" s="22"/>
      <c r="EF267" s="22"/>
      <c r="EG267" s="22"/>
      <c r="EH267" s="22"/>
      <c r="EI267" s="22"/>
      <c r="EJ267" s="22"/>
      <c r="EK267" s="22"/>
      <c r="EL267" s="22"/>
      <c r="EM267" s="22"/>
      <c r="EN267" s="22"/>
      <c r="EO267" s="22"/>
      <c r="EP267" s="22"/>
      <c r="EQ267" s="22"/>
      <c r="ER267" s="22"/>
      <c r="ES267" s="22"/>
      <c r="ET267" s="22"/>
      <c r="EU267" s="22"/>
      <c r="EV267" s="22"/>
      <c r="EW267" s="22"/>
      <c r="EX267" s="22"/>
      <c r="EY267" s="22"/>
      <c r="EZ267" s="22"/>
      <c r="FA267" s="22"/>
      <c r="FB267" s="22"/>
      <c r="FC267" s="22"/>
      <c r="FD267" s="22"/>
      <c r="FE267" s="22"/>
      <c r="FF267" s="22"/>
      <c r="FG267" s="22"/>
      <c r="FH267" s="22"/>
      <c r="FI267" s="22"/>
      <c r="FJ267" s="22"/>
      <c r="FK267" s="22"/>
      <c r="FL267" s="22"/>
      <c r="FM267" s="22"/>
      <c r="FN267" s="22"/>
      <c r="FO267" s="22"/>
      <c r="FP267" s="22"/>
      <c r="FQ267" s="22"/>
      <c r="FR267" s="22"/>
      <c r="FS267" s="22"/>
      <c r="FT267" s="22"/>
      <c r="FU267" s="22"/>
      <c r="FV267" s="22"/>
      <c r="FW267" s="22"/>
      <c r="FX267" s="22"/>
      <c r="FY267" s="22"/>
      <c r="FZ267" s="22"/>
      <c r="GA267" s="22"/>
      <c r="GB267" s="22"/>
      <c r="GC267" s="22"/>
      <c r="GD267" s="22"/>
      <c r="GE267" s="22"/>
      <c r="GF267" s="22"/>
      <c r="GG267" s="22"/>
      <c r="GH267" s="22"/>
      <c r="GI267" s="22"/>
      <c r="GJ267" s="22"/>
      <c r="GK267" s="22"/>
      <c r="GL267" s="22"/>
    </row>
    <row r="268" spans="1:194" s="22" customFormat="1" x14ac:dyDescent="0.25">
      <c r="A268" s="19" t="s">
        <v>188</v>
      </c>
      <c r="B268" s="20">
        <f t="shared" si="36"/>
        <v>0</v>
      </c>
      <c r="C268" s="20">
        <f t="shared" si="36"/>
        <v>0</v>
      </c>
      <c r="D268" s="20">
        <f t="shared" si="36"/>
        <v>0</v>
      </c>
      <c r="E268" s="20">
        <f>SUM(E269:E269)</f>
        <v>0</v>
      </c>
      <c r="F268" s="20">
        <f>SUM(F269:F269)</f>
        <v>0</v>
      </c>
      <c r="G268" s="20">
        <f t="shared" si="37"/>
        <v>0</v>
      </c>
      <c r="H268" s="20">
        <f>SUM(H269:H269)</f>
        <v>0</v>
      </c>
      <c r="I268" s="20">
        <f>SUM(I269:I269)</f>
        <v>0</v>
      </c>
      <c r="J268" s="20">
        <f t="shared" si="38"/>
        <v>0</v>
      </c>
      <c r="K268" s="20">
        <f>SUM(K269:K269)</f>
        <v>0</v>
      </c>
      <c r="L268" s="20">
        <f>SUM(L269:L269)</f>
        <v>0</v>
      </c>
      <c r="M268" s="20">
        <f t="shared" si="39"/>
        <v>0</v>
      </c>
      <c r="N268" s="20">
        <f>SUM(N269:N269)</f>
        <v>0</v>
      </c>
      <c r="O268" s="20">
        <f>SUM(O269:O269)</f>
        <v>0</v>
      </c>
      <c r="P268" s="20">
        <f t="shared" si="40"/>
        <v>0</v>
      </c>
      <c r="Q268" s="20">
        <f>SUM(Q269:Q269)</f>
        <v>0</v>
      </c>
      <c r="R268" s="20">
        <f>SUM(R269:R269)</f>
        <v>0</v>
      </c>
      <c r="S268" s="20">
        <f t="shared" si="41"/>
        <v>0</v>
      </c>
      <c r="T268" s="20">
        <f>SUM(T269:T269)</f>
        <v>0</v>
      </c>
      <c r="U268" s="20">
        <f>SUM(U269:U269)</f>
        <v>0</v>
      </c>
      <c r="V268" s="20">
        <f t="shared" si="42"/>
        <v>0</v>
      </c>
      <c r="W268" s="20">
        <f>SUM(W269:W269)</f>
        <v>0</v>
      </c>
      <c r="X268" s="20">
        <f>SUM(X269:X269)</f>
        <v>0</v>
      </c>
      <c r="Y268" s="20">
        <f t="shared" si="43"/>
        <v>0</v>
      </c>
      <c r="Z268" s="20">
        <f>SUM(Z269:Z269)</f>
        <v>0</v>
      </c>
      <c r="AA268" s="20">
        <f>SUM(AA269:AA269)</f>
        <v>0</v>
      </c>
      <c r="AB268" s="20">
        <f t="shared" si="44"/>
        <v>0</v>
      </c>
    </row>
    <row r="269" spans="1:194" s="21" customFormat="1" x14ac:dyDescent="0.25">
      <c r="A269" s="27"/>
      <c r="B269" s="28">
        <f t="shared" si="36"/>
        <v>0</v>
      </c>
      <c r="C269" s="28">
        <f t="shared" si="36"/>
        <v>0</v>
      </c>
      <c r="D269" s="28">
        <f t="shared" si="36"/>
        <v>0</v>
      </c>
      <c r="E269" s="28"/>
      <c r="F269" s="28"/>
      <c r="G269" s="28">
        <f t="shared" si="37"/>
        <v>0</v>
      </c>
      <c r="H269" s="28"/>
      <c r="I269" s="28"/>
      <c r="J269" s="28">
        <f t="shared" si="38"/>
        <v>0</v>
      </c>
      <c r="K269" s="28"/>
      <c r="L269" s="28"/>
      <c r="M269" s="28">
        <f t="shared" si="39"/>
        <v>0</v>
      </c>
      <c r="N269" s="28"/>
      <c r="O269" s="28"/>
      <c r="P269" s="28">
        <f t="shared" si="40"/>
        <v>0</v>
      </c>
      <c r="Q269" s="28"/>
      <c r="R269" s="28"/>
      <c r="S269" s="28">
        <f t="shared" si="41"/>
        <v>0</v>
      </c>
      <c r="T269" s="28"/>
      <c r="U269" s="28"/>
      <c r="V269" s="28">
        <f t="shared" si="42"/>
        <v>0</v>
      </c>
      <c r="W269" s="28"/>
      <c r="X269" s="28"/>
      <c r="Y269" s="28">
        <f t="shared" si="43"/>
        <v>0</v>
      </c>
      <c r="Z269" s="28"/>
      <c r="AA269" s="28"/>
      <c r="AB269" s="28">
        <f t="shared" si="44"/>
        <v>0</v>
      </c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2"/>
      <c r="CP269" s="22"/>
      <c r="CQ269" s="22"/>
      <c r="CR269" s="22"/>
      <c r="CS269" s="22"/>
      <c r="CT269" s="22"/>
      <c r="CU269" s="22"/>
      <c r="CV269" s="22"/>
      <c r="CW269" s="22"/>
      <c r="CX269" s="22"/>
      <c r="CY269" s="22"/>
      <c r="CZ269" s="22"/>
      <c r="DA269" s="22"/>
      <c r="DB269" s="22"/>
      <c r="DC269" s="22"/>
      <c r="DD269" s="22"/>
      <c r="DE269" s="22"/>
      <c r="DF269" s="22"/>
      <c r="DG269" s="22"/>
      <c r="DH269" s="22"/>
      <c r="DI269" s="22"/>
      <c r="DJ269" s="22"/>
      <c r="DK269" s="22"/>
      <c r="DL269" s="22"/>
      <c r="DM269" s="22"/>
      <c r="DN269" s="22"/>
      <c r="DO269" s="22"/>
      <c r="DP269" s="22"/>
      <c r="DQ269" s="22"/>
      <c r="DR269" s="22"/>
      <c r="DS269" s="22"/>
      <c r="DT269" s="22"/>
      <c r="DU269" s="22"/>
      <c r="DV269" s="22"/>
      <c r="DW269" s="22"/>
      <c r="DX269" s="22"/>
      <c r="DY269" s="22"/>
      <c r="DZ269" s="22"/>
      <c r="EA269" s="22"/>
      <c r="EB269" s="22"/>
      <c r="EC269" s="22"/>
      <c r="ED269" s="22"/>
      <c r="EE269" s="22"/>
      <c r="EF269" s="22"/>
      <c r="EG269" s="22"/>
      <c r="EH269" s="22"/>
      <c r="EI269" s="22"/>
      <c r="EJ269" s="22"/>
      <c r="EK269" s="22"/>
      <c r="EL269" s="22"/>
      <c r="EM269" s="22"/>
      <c r="EN269" s="22"/>
      <c r="EO269" s="22"/>
      <c r="EP269" s="22"/>
      <c r="EQ269" s="22"/>
      <c r="ER269" s="22"/>
      <c r="ES269" s="22"/>
      <c r="ET269" s="22"/>
      <c r="EU269" s="22"/>
      <c r="EV269" s="22"/>
      <c r="EW269" s="22"/>
      <c r="EX269" s="22"/>
      <c r="EY269" s="22"/>
      <c r="EZ269" s="22"/>
      <c r="FA269" s="22"/>
      <c r="FB269" s="22"/>
      <c r="FC269" s="22"/>
      <c r="FD269" s="22"/>
      <c r="FE269" s="22"/>
      <c r="FF269" s="22"/>
      <c r="FG269" s="22"/>
      <c r="FH269" s="22"/>
      <c r="FI269" s="22"/>
      <c r="FJ269" s="22"/>
      <c r="FK269" s="22"/>
      <c r="FL269" s="22"/>
      <c r="FM269" s="22"/>
      <c r="FN269" s="22"/>
      <c r="FO269" s="22"/>
      <c r="FP269" s="22"/>
      <c r="FQ269" s="22"/>
      <c r="FR269" s="22"/>
      <c r="FS269" s="22"/>
      <c r="FT269" s="22"/>
      <c r="FU269" s="22"/>
      <c r="FV269" s="22"/>
      <c r="FW269" s="22"/>
      <c r="FX269" s="22"/>
      <c r="FY269" s="22"/>
      <c r="FZ269" s="22"/>
      <c r="GA269" s="22"/>
      <c r="GB269" s="22"/>
      <c r="GC269" s="22"/>
      <c r="GD269" s="22"/>
      <c r="GE269" s="22"/>
      <c r="GF269" s="22"/>
      <c r="GG269" s="22"/>
      <c r="GH269" s="22"/>
      <c r="GI269" s="22"/>
      <c r="GJ269" s="22"/>
      <c r="GK269" s="22"/>
      <c r="GL269" s="22"/>
    </row>
    <row r="270" spans="1:194" s="22" customFormat="1" x14ac:dyDescent="0.25">
      <c r="A270" s="19" t="s">
        <v>68</v>
      </c>
      <c r="B270" s="20">
        <f t="shared" si="36"/>
        <v>1631653</v>
      </c>
      <c r="C270" s="20">
        <f t="shared" si="36"/>
        <v>1631653</v>
      </c>
      <c r="D270" s="20">
        <f t="shared" si="36"/>
        <v>0</v>
      </c>
      <c r="E270" s="20">
        <f>SUM(E271,E280,E282,E290,E295,E301)</f>
        <v>72000</v>
      </c>
      <c r="F270" s="20">
        <f>SUM(F271,F280,F282,F290,F295,F301)</f>
        <v>54638</v>
      </c>
      <c r="G270" s="20">
        <f t="shared" si="37"/>
        <v>-17362</v>
      </c>
      <c r="H270" s="20">
        <f>SUM(H271,H280,H282,H290,H295,H301)</f>
        <v>0</v>
      </c>
      <c r="I270" s="20">
        <f>SUM(I271,I280,I282,I290,I295,I301)</f>
        <v>0</v>
      </c>
      <c r="J270" s="20">
        <f t="shared" si="38"/>
        <v>0</v>
      </c>
      <c r="K270" s="20">
        <f>SUM(K271,K280,K282,K290,K295,K301)</f>
        <v>83275</v>
      </c>
      <c r="L270" s="20">
        <f>SUM(L271,L280,L282,L290,L295,L301)</f>
        <v>83275</v>
      </c>
      <c r="M270" s="20">
        <f t="shared" si="39"/>
        <v>0</v>
      </c>
      <c r="N270" s="20">
        <f>SUM(N271,N280,N282,N290,N295,N301)</f>
        <v>102873</v>
      </c>
      <c r="O270" s="20">
        <f>SUM(O271,O280,O282,O290,O295,O301)</f>
        <v>102873</v>
      </c>
      <c r="P270" s="20">
        <f t="shared" si="40"/>
        <v>0</v>
      </c>
      <c r="Q270" s="20">
        <f>SUM(Q271,Q280,Q282,Q290,Q295,Q301)</f>
        <v>1358305</v>
      </c>
      <c r="R270" s="20">
        <f>SUM(R271,R280,R282,R290,R295,R301)</f>
        <v>1358305</v>
      </c>
      <c r="S270" s="20">
        <f t="shared" si="41"/>
        <v>0</v>
      </c>
      <c r="T270" s="20">
        <f>SUM(T271,T280,T282,T290,T295,T301)</f>
        <v>15200</v>
      </c>
      <c r="U270" s="20">
        <f>SUM(U271,U280,U282,U290,U295,U301)</f>
        <v>15200</v>
      </c>
      <c r="V270" s="20">
        <f t="shared" si="42"/>
        <v>0</v>
      </c>
      <c r="W270" s="20">
        <f>SUM(W271,W280,W282,W290,W295,W301)</f>
        <v>0</v>
      </c>
      <c r="X270" s="20">
        <f>SUM(X271,X280,X282,X290,X295,X301)</f>
        <v>0</v>
      </c>
      <c r="Y270" s="20">
        <f t="shared" si="43"/>
        <v>0</v>
      </c>
      <c r="Z270" s="20">
        <f>SUM(Z271,Z280,Z282,Z290,Z295,Z301)</f>
        <v>0</v>
      </c>
      <c r="AA270" s="20">
        <f>SUM(AA271,AA280,AA282,AA290,AA295,AA301)</f>
        <v>17362</v>
      </c>
      <c r="AB270" s="20">
        <f t="shared" si="44"/>
        <v>17362</v>
      </c>
    </row>
    <row r="271" spans="1:194" s="22" customFormat="1" x14ac:dyDescent="0.25">
      <c r="A271" s="19" t="s">
        <v>168</v>
      </c>
      <c r="B271" s="20">
        <f t="shared" si="36"/>
        <v>40642</v>
      </c>
      <c r="C271" s="20">
        <f t="shared" si="36"/>
        <v>40642</v>
      </c>
      <c r="D271" s="20">
        <f t="shared" si="36"/>
        <v>0</v>
      </c>
      <c r="E271" s="20">
        <f>SUM(E272:E279)</f>
        <v>0</v>
      </c>
      <c r="F271" s="20">
        <f>SUM(F272:F279)</f>
        <v>0</v>
      </c>
      <c r="G271" s="20">
        <f t="shared" si="37"/>
        <v>0</v>
      </c>
      <c r="H271" s="20">
        <f>SUM(H272:H279)</f>
        <v>0</v>
      </c>
      <c r="I271" s="20">
        <f>SUM(I272:I279)</f>
        <v>0</v>
      </c>
      <c r="J271" s="20">
        <f t="shared" si="38"/>
        <v>0</v>
      </c>
      <c r="K271" s="20">
        <f>SUM(K272:K279)</f>
        <v>6210</v>
      </c>
      <c r="L271" s="20">
        <f>SUM(L272:L279)</f>
        <v>6210</v>
      </c>
      <c r="M271" s="20">
        <f t="shared" si="39"/>
        <v>0</v>
      </c>
      <c r="N271" s="20">
        <f>SUM(N272:N279)</f>
        <v>0</v>
      </c>
      <c r="O271" s="20">
        <f>SUM(O272:O279)</f>
        <v>0</v>
      </c>
      <c r="P271" s="20">
        <f t="shared" si="40"/>
        <v>0</v>
      </c>
      <c r="Q271" s="20">
        <f>SUM(Q272:Q279)</f>
        <v>19232</v>
      </c>
      <c r="R271" s="20">
        <f>SUM(R272:R279)</f>
        <v>19232</v>
      </c>
      <c r="S271" s="20">
        <f t="shared" si="41"/>
        <v>0</v>
      </c>
      <c r="T271" s="20">
        <f>SUM(T272:T279)</f>
        <v>15200</v>
      </c>
      <c r="U271" s="20">
        <f>SUM(U272:U279)</f>
        <v>15200</v>
      </c>
      <c r="V271" s="20">
        <f t="shared" si="42"/>
        <v>0</v>
      </c>
      <c r="W271" s="20">
        <f>SUM(W272:W279)</f>
        <v>0</v>
      </c>
      <c r="X271" s="20">
        <f>SUM(X272:X279)</f>
        <v>0</v>
      </c>
      <c r="Y271" s="20">
        <f t="shared" si="43"/>
        <v>0</v>
      </c>
      <c r="Z271" s="20">
        <f>SUM(Z272:Z279)</f>
        <v>0</v>
      </c>
      <c r="AA271" s="20">
        <f>SUM(AA272:AA279)</f>
        <v>0</v>
      </c>
      <c r="AB271" s="20">
        <f t="shared" si="44"/>
        <v>0</v>
      </c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  <c r="BY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  <c r="CJ271" s="21"/>
      <c r="CK271" s="21"/>
      <c r="CL271" s="21"/>
      <c r="CM271" s="21"/>
      <c r="CN271" s="21"/>
      <c r="CO271" s="21"/>
      <c r="CP271" s="21"/>
      <c r="CQ271" s="21"/>
      <c r="CR271" s="21"/>
      <c r="CS271" s="21"/>
      <c r="CT271" s="21"/>
      <c r="CU271" s="21"/>
      <c r="CV271" s="21"/>
      <c r="CW271" s="21"/>
      <c r="CX271" s="21"/>
      <c r="CY271" s="21"/>
      <c r="CZ271" s="21"/>
      <c r="DA271" s="21"/>
      <c r="DB271" s="21"/>
      <c r="DC271" s="21"/>
      <c r="DD271" s="21"/>
      <c r="DE271" s="21"/>
      <c r="DF271" s="21"/>
      <c r="DG271" s="21"/>
      <c r="DH271" s="21"/>
      <c r="DI271" s="21"/>
      <c r="DJ271" s="21"/>
      <c r="DK271" s="21"/>
      <c r="DL271" s="21"/>
      <c r="DM271" s="21"/>
      <c r="DN271" s="21"/>
      <c r="DO271" s="21"/>
      <c r="DP271" s="21"/>
      <c r="DQ271" s="21"/>
      <c r="DR271" s="21"/>
      <c r="DS271" s="21"/>
      <c r="DT271" s="21"/>
      <c r="DU271" s="21"/>
      <c r="DV271" s="21"/>
      <c r="DW271" s="21"/>
      <c r="DX271" s="21"/>
      <c r="DY271" s="21"/>
      <c r="DZ271" s="21"/>
      <c r="EA271" s="21"/>
      <c r="EB271" s="21"/>
      <c r="EC271" s="21"/>
      <c r="ED271" s="21"/>
      <c r="EE271" s="21"/>
      <c r="EF271" s="21"/>
      <c r="EG271" s="21"/>
      <c r="EH271" s="21"/>
      <c r="EI271" s="21"/>
      <c r="EJ271" s="21"/>
      <c r="EK271" s="21"/>
      <c r="EL271" s="21"/>
      <c r="EM271" s="21"/>
      <c r="EN271" s="21"/>
      <c r="EO271" s="21"/>
      <c r="EP271" s="21"/>
      <c r="EQ271" s="21"/>
      <c r="ER271" s="21"/>
      <c r="ES271" s="21"/>
      <c r="ET271" s="21"/>
      <c r="EU271" s="21"/>
      <c r="EV271" s="21"/>
      <c r="EW271" s="21"/>
      <c r="EX271" s="21"/>
      <c r="EY271" s="21"/>
      <c r="EZ271" s="21"/>
      <c r="FA271" s="21"/>
      <c r="FB271" s="21"/>
      <c r="FC271" s="21"/>
      <c r="FD271" s="21"/>
      <c r="FE271" s="21"/>
      <c r="FF271" s="21"/>
      <c r="FG271" s="21"/>
      <c r="FH271" s="21"/>
      <c r="FI271" s="21"/>
      <c r="FJ271" s="21"/>
      <c r="FK271" s="21"/>
      <c r="FL271" s="21"/>
      <c r="FM271" s="21"/>
      <c r="FN271" s="21"/>
      <c r="FO271" s="21"/>
      <c r="FP271" s="21"/>
      <c r="FQ271" s="21"/>
      <c r="FR271" s="21"/>
      <c r="FS271" s="21"/>
      <c r="FT271" s="21"/>
      <c r="FU271" s="21"/>
      <c r="FV271" s="21"/>
      <c r="FW271" s="21"/>
      <c r="FX271" s="21"/>
      <c r="FY271" s="21"/>
      <c r="FZ271" s="21"/>
      <c r="GA271" s="21"/>
      <c r="GB271" s="21"/>
      <c r="GC271" s="21"/>
      <c r="GD271" s="21"/>
      <c r="GE271" s="21"/>
      <c r="GF271" s="21"/>
      <c r="GG271" s="21"/>
      <c r="GH271" s="21"/>
      <c r="GI271" s="21"/>
      <c r="GJ271" s="21"/>
      <c r="GK271" s="21"/>
      <c r="GL271" s="21"/>
    </row>
    <row r="272" spans="1:194" s="22" customFormat="1" x14ac:dyDescent="0.25">
      <c r="A272" s="27" t="s">
        <v>233</v>
      </c>
      <c r="B272" s="28">
        <f t="shared" si="36"/>
        <v>3584</v>
      </c>
      <c r="C272" s="28">
        <f t="shared" si="36"/>
        <v>3584</v>
      </c>
      <c r="D272" s="28">
        <f t="shared" si="36"/>
        <v>0</v>
      </c>
      <c r="E272" s="28"/>
      <c r="F272" s="28"/>
      <c r="G272" s="28">
        <f t="shared" si="37"/>
        <v>0</v>
      </c>
      <c r="H272" s="28"/>
      <c r="I272" s="28"/>
      <c r="J272" s="28">
        <f t="shared" si="38"/>
        <v>0</v>
      </c>
      <c r="K272" s="28">
        <v>3584</v>
      </c>
      <c r="L272" s="28">
        <v>3584</v>
      </c>
      <c r="M272" s="28">
        <f t="shared" si="39"/>
        <v>0</v>
      </c>
      <c r="N272" s="28"/>
      <c r="O272" s="28"/>
      <c r="P272" s="28">
        <f t="shared" si="40"/>
        <v>0</v>
      </c>
      <c r="Q272" s="28"/>
      <c r="R272" s="28"/>
      <c r="S272" s="28">
        <f t="shared" si="41"/>
        <v>0</v>
      </c>
      <c r="T272" s="28"/>
      <c r="U272" s="28"/>
      <c r="V272" s="28">
        <f t="shared" si="42"/>
        <v>0</v>
      </c>
      <c r="W272" s="28"/>
      <c r="X272" s="28"/>
      <c r="Y272" s="28">
        <f t="shared" si="43"/>
        <v>0</v>
      </c>
      <c r="Z272" s="28"/>
      <c r="AA272" s="28"/>
      <c r="AB272" s="28">
        <f t="shared" si="44"/>
        <v>0</v>
      </c>
    </row>
    <row r="273" spans="1:194" s="22" customFormat="1" x14ac:dyDescent="0.25">
      <c r="A273" s="27" t="s">
        <v>234</v>
      </c>
      <c r="B273" s="28">
        <f t="shared" si="36"/>
        <v>1330</v>
      </c>
      <c r="C273" s="28">
        <f t="shared" si="36"/>
        <v>1330</v>
      </c>
      <c r="D273" s="28">
        <f t="shared" si="36"/>
        <v>0</v>
      </c>
      <c r="E273" s="28"/>
      <c r="F273" s="28"/>
      <c r="G273" s="28">
        <f t="shared" si="37"/>
        <v>0</v>
      </c>
      <c r="H273" s="28"/>
      <c r="I273" s="28"/>
      <c r="J273" s="28">
        <f t="shared" si="38"/>
        <v>0</v>
      </c>
      <c r="K273" s="28">
        <v>1330</v>
      </c>
      <c r="L273" s="28">
        <v>1330</v>
      </c>
      <c r="M273" s="28">
        <f t="shared" si="39"/>
        <v>0</v>
      </c>
      <c r="N273" s="28"/>
      <c r="O273" s="28"/>
      <c r="P273" s="28">
        <f t="shared" si="40"/>
        <v>0</v>
      </c>
      <c r="Q273" s="28"/>
      <c r="R273" s="28"/>
      <c r="S273" s="28">
        <f t="shared" si="41"/>
        <v>0</v>
      </c>
      <c r="T273" s="28"/>
      <c r="U273" s="28"/>
      <c r="V273" s="28">
        <f t="shared" si="42"/>
        <v>0</v>
      </c>
      <c r="W273" s="28"/>
      <c r="X273" s="28"/>
      <c r="Y273" s="28">
        <f t="shared" si="43"/>
        <v>0</v>
      </c>
      <c r="Z273" s="28"/>
      <c r="AA273" s="28"/>
      <c r="AB273" s="28">
        <f t="shared" si="44"/>
        <v>0</v>
      </c>
    </row>
    <row r="274" spans="1:194" s="18" customFormat="1" x14ac:dyDescent="0.25">
      <c r="A274" s="39" t="s">
        <v>235</v>
      </c>
      <c r="B274" s="40">
        <f t="shared" si="36"/>
        <v>1296</v>
      </c>
      <c r="C274" s="40">
        <f t="shared" si="36"/>
        <v>1296</v>
      </c>
      <c r="D274" s="40">
        <f t="shared" si="36"/>
        <v>0</v>
      </c>
      <c r="E274" s="40"/>
      <c r="F274" s="40"/>
      <c r="G274" s="40">
        <f t="shared" si="37"/>
        <v>0</v>
      </c>
      <c r="H274" s="40"/>
      <c r="I274" s="40"/>
      <c r="J274" s="40">
        <f t="shared" si="38"/>
        <v>0</v>
      </c>
      <c r="K274" s="40">
        <v>1296</v>
      </c>
      <c r="L274" s="40">
        <v>1296</v>
      </c>
      <c r="M274" s="40">
        <f t="shared" si="39"/>
        <v>0</v>
      </c>
      <c r="N274" s="40"/>
      <c r="O274" s="40"/>
      <c r="P274" s="40">
        <f t="shared" si="40"/>
        <v>0</v>
      </c>
      <c r="Q274" s="40"/>
      <c r="R274" s="40"/>
      <c r="S274" s="40">
        <f t="shared" si="41"/>
        <v>0</v>
      </c>
      <c r="T274" s="40"/>
      <c r="U274" s="40"/>
      <c r="V274" s="40">
        <f t="shared" si="42"/>
        <v>0</v>
      </c>
      <c r="W274" s="40"/>
      <c r="X274" s="40"/>
      <c r="Y274" s="40">
        <f t="shared" si="43"/>
        <v>0</v>
      </c>
      <c r="Z274" s="40"/>
      <c r="AA274" s="40"/>
      <c r="AB274" s="40">
        <f t="shared" si="44"/>
        <v>0</v>
      </c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  <c r="BN274" s="41"/>
      <c r="BO274" s="41"/>
      <c r="BP274" s="41"/>
      <c r="BQ274" s="41"/>
      <c r="BR274" s="41"/>
      <c r="BS274" s="41"/>
      <c r="BT274" s="41"/>
      <c r="BU274" s="41"/>
      <c r="BV274" s="41"/>
      <c r="BW274" s="41"/>
      <c r="BX274" s="41"/>
      <c r="BY274" s="41"/>
      <c r="BZ274" s="41"/>
      <c r="CA274" s="41"/>
      <c r="CB274" s="41"/>
      <c r="CC274" s="41"/>
      <c r="CD274" s="41"/>
      <c r="CE274" s="41"/>
      <c r="CF274" s="41"/>
      <c r="CG274" s="41"/>
      <c r="CH274" s="41"/>
      <c r="CI274" s="41"/>
      <c r="CJ274" s="41"/>
      <c r="CK274" s="41"/>
      <c r="CL274" s="41"/>
      <c r="CM274" s="41"/>
      <c r="CN274" s="41"/>
      <c r="CO274" s="41"/>
      <c r="CP274" s="41"/>
      <c r="CQ274" s="41"/>
      <c r="CR274" s="41"/>
      <c r="CS274" s="41"/>
      <c r="CT274" s="41"/>
      <c r="CU274" s="41"/>
      <c r="CV274" s="41"/>
      <c r="CW274" s="41"/>
      <c r="CX274" s="41"/>
      <c r="CY274" s="41"/>
      <c r="CZ274" s="41"/>
      <c r="DA274" s="41"/>
      <c r="DB274" s="41"/>
      <c r="DC274" s="41"/>
      <c r="DD274" s="41"/>
      <c r="DE274" s="41"/>
      <c r="DF274" s="41"/>
      <c r="DG274" s="41"/>
      <c r="DH274" s="41"/>
      <c r="DI274" s="41"/>
      <c r="DJ274" s="41"/>
      <c r="DK274" s="41"/>
      <c r="DL274" s="41"/>
      <c r="DM274" s="41"/>
      <c r="DN274" s="41"/>
      <c r="DO274" s="41"/>
      <c r="DP274" s="41"/>
      <c r="DQ274" s="41"/>
      <c r="DR274" s="41"/>
      <c r="DS274" s="41"/>
      <c r="DT274" s="41"/>
      <c r="DU274" s="41"/>
      <c r="DV274" s="41"/>
      <c r="DW274" s="41"/>
      <c r="DX274" s="41"/>
      <c r="DY274" s="41"/>
      <c r="DZ274" s="41"/>
      <c r="EA274" s="41"/>
      <c r="EB274" s="41"/>
      <c r="EC274" s="41"/>
      <c r="ED274" s="41"/>
      <c r="EE274" s="41"/>
      <c r="EF274" s="41"/>
      <c r="EG274" s="41"/>
      <c r="EH274" s="41"/>
      <c r="EI274" s="41"/>
      <c r="EJ274" s="41"/>
      <c r="EK274" s="41"/>
      <c r="EL274" s="41"/>
      <c r="EM274" s="41"/>
      <c r="EN274" s="41"/>
      <c r="EO274" s="41"/>
      <c r="EP274" s="41"/>
      <c r="EQ274" s="41"/>
      <c r="ER274" s="41"/>
      <c r="ES274" s="41"/>
      <c r="ET274" s="41"/>
      <c r="EU274" s="41"/>
      <c r="EV274" s="41"/>
      <c r="EW274" s="41"/>
      <c r="EX274" s="41"/>
      <c r="EY274" s="41"/>
      <c r="EZ274" s="41"/>
      <c r="FA274" s="41"/>
      <c r="FB274" s="41"/>
      <c r="FC274" s="41"/>
      <c r="FD274" s="41"/>
      <c r="FE274" s="41"/>
      <c r="FF274" s="41"/>
      <c r="FG274" s="41"/>
      <c r="FH274" s="41"/>
      <c r="FI274" s="41"/>
      <c r="FJ274" s="41"/>
      <c r="FK274" s="41"/>
      <c r="FL274" s="41"/>
      <c r="FM274" s="41"/>
      <c r="FN274" s="41"/>
      <c r="FO274" s="41"/>
      <c r="FP274" s="41"/>
      <c r="FQ274" s="41"/>
      <c r="FR274" s="41"/>
      <c r="FS274" s="41"/>
      <c r="FT274" s="41"/>
      <c r="FU274" s="41"/>
      <c r="FV274" s="41"/>
      <c r="FW274" s="41"/>
      <c r="FX274" s="41"/>
      <c r="FY274" s="41"/>
      <c r="FZ274" s="41"/>
      <c r="GA274" s="41"/>
      <c r="GB274" s="41"/>
      <c r="GC274" s="41"/>
      <c r="GD274" s="41"/>
      <c r="GE274" s="41"/>
      <c r="GF274" s="41"/>
      <c r="GG274" s="41"/>
      <c r="GH274" s="41"/>
      <c r="GI274" s="41"/>
      <c r="GJ274" s="41"/>
      <c r="GK274" s="41"/>
      <c r="GL274" s="41"/>
    </row>
    <row r="275" spans="1:194" s="18" customFormat="1" ht="47.25" x14ac:dyDescent="0.25">
      <c r="A275" s="39" t="s">
        <v>236</v>
      </c>
      <c r="B275" s="40">
        <f t="shared" si="36"/>
        <v>15200</v>
      </c>
      <c r="C275" s="40">
        <f t="shared" si="36"/>
        <v>15200</v>
      </c>
      <c r="D275" s="40">
        <f t="shared" si="36"/>
        <v>0</v>
      </c>
      <c r="E275" s="40"/>
      <c r="F275" s="40"/>
      <c r="G275" s="40">
        <f t="shared" si="37"/>
        <v>0</v>
      </c>
      <c r="H275" s="40"/>
      <c r="I275" s="40"/>
      <c r="J275" s="40">
        <f t="shared" si="38"/>
        <v>0</v>
      </c>
      <c r="K275" s="40"/>
      <c r="L275" s="40"/>
      <c r="M275" s="40"/>
      <c r="N275" s="40"/>
      <c r="O275" s="40"/>
      <c r="P275" s="40">
        <f t="shared" si="40"/>
        <v>0</v>
      </c>
      <c r="Q275" s="40"/>
      <c r="R275" s="40"/>
      <c r="S275" s="40">
        <f t="shared" si="41"/>
        <v>0</v>
      </c>
      <c r="T275" s="40">
        <f>4000+11200</f>
        <v>15200</v>
      </c>
      <c r="U275" s="40">
        <f>4000+11200</f>
        <v>15200</v>
      </c>
      <c r="V275" s="40">
        <f t="shared" si="42"/>
        <v>0</v>
      </c>
      <c r="W275" s="40"/>
      <c r="X275" s="40"/>
      <c r="Y275" s="40">
        <f t="shared" si="43"/>
        <v>0</v>
      </c>
      <c r="Z275" s="40"/>
      <c r="AA275" s="40"/>
      <c r="AB275" s="40">
        <f t="shared" si="44"/>
        <v>0</v>
      </c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1"/>
      <c r="BJ275" s="41"/>
      <c r="BK275" s="41"/>
      <c r="BL275" s="41"/>
      <c r="BM275" s="41"/>
      <c r="BN275" s="41"/>
      <c r="BO275" s="41"/>
      <c r="BP275" s="41"/>
      <c r="BQ275" s="41"/>
      <c r="BR275" s="41"/>
      <c r="BS275" s="41"/>
      <c r="BT275" s="41"/>
      <c r="BU275" s="41"/>
      <c r="BV275" s="41"/>
      <c r="BW275" s="41"/>
      <c r="BX275" s="41"/>
      <c r="BY275" s="41"/>
      <c r="BZ275" s="41"/>
      <c r="CA275" s="41"/>
      <c r="CB275" s="41"/>
      <c r="CC275" s="41"/>
      <c r="CD275" s="41"/>
      <c r="CE275" s="41"/>
      <c r="CF275" s="41"/>
      <c r="CG275" s="41"/>
      <c r="CH275" s="41"/>
      <c r="CI275" s="41"/>
      <c r="CJ275" s="41"/>
      <c r="CK275" s="41"/>
      <c r="CL275" s="41"/>
      <c r="CM275" s="41"/>
      <c r="CN275" s="41"/>
      <c r="CO275" s="41"/>
      <c r="CP275" s="41"/>
      <c r="CQ275" s="41"/>
      <c r="CR275" s="41"/>
      <c r="CS275" s="41"/>
      <c r="CT275" s="41"/>
      <c r="CU275" s="41"/>
      <c r="CV275" s="41"/>
      <c r="CW275" s="41"/>
      <c r="CX275" s="41"/>
      <c r="CY275" s="41"/>
      <c r="CZ275" s="41"/>
      <c r="DA275" s="41"/>
      <c r="DB275" s="41"/>
      <c r="DC275" s="41"/>
      <c r="DD275" s="41"/>
      <c r="DE275" s="41"/>
      <c r="DF275" s="41"/>
      <c r="DG275" s="41"/>
      <c r="DH275" s="41"/>
      <c r="DI275" s="41"/>
      <c r="DJ275" s="41"/>
      <c r="DK275" s="41"/>
      <c r="DL275" s="41"/>
      <c r="DM275" s="41"/>
      <c r="DN275" s="41"/>
      <c r="DO275" s="41"/>
      <c r="DP275" s="41"/>
      <c r="DQ275" s="41"/>
      <c r="DR275" s="41"/>
      <c r="DS275" s="41"/>
      <c r="DT275" s="41"/>
      <c r="DU275" s="41"/>
      <c r="DV275" s="41"/>
      <c r="DW275" s="41"/>
      <c r="DX275" s="41"/>
      <c r="DY275" s="41"/>
      <c r="DZ275" s="41"/>
      <c r="EA275" s="41"/>
      <c r="EB275" s="41"/>
      <c r="EC275" s="41"/>
      <c r="ED275" s="41"/>
      <c r="EE275" s="41"/>
      <c r="EF275" s="41"/>
      <c r="EG275" s="41"/>
      <c r="EH275" s="41"/>
      <c r="EI275" s="41"/>
      <c r="EJ275" s="41"/>
      <c r="EK275" s="41"/>
      <c r="EL275" s="41"/>
      <c r="EM275" s="41"/>
      <c r="EN275" s="41"/>
      <c r="EO275" s="41"/>
      <c r="EP275" s="41"/>
      <c r="EQ275" s="41"/>
      <c r="ER275" s="41"/>
      <c r="ES275" s="41"/>
      <c r="ET275" s="41"/>
      <c r="EU275" s="41"/>
      <c r="EV275" s="41"/>
      <c r="EW275" s="41"/>
      <c r="EX275" s="41"/>
      <c r="EY275" s="41"/>
      <c r="EZ275" s="41"/>
      <c r="FA275" s="41"/>
      <c r="FB275" s="41"/>
      <c r="FC275" s="41"/>
      <c r="FD275" s="41"/>
      <c r="FE275" s="41"/>
      <c r="FF275" s="41"/>
      <c r="FG275" s="41"/>
      <c r="FH275" s="41"/>
      <c r="FI275" s="41"/>
      <c r="FJ275" s="41"/>
      <c r="FK275" s="41"/>
      <c r="FL275" s="41"/>
      <c r="FM275" s="41"/>
      <c r="FN275" s="41"/>
      <c r="FO275" s="41"/>
      <c r="FP275" s="41"/>
      <c r="FQ275" s="41"/>
      <c r="FR275" s="41"/>
      <c r="FS275" s="41"/>
      <c r="FT275" s="41"/>
      <c r="FU275" s="41"/>
      <c r="FV275" s="41"/>
      <c r="FW275" s="41"/>
      <c r="FX275" s="41"/>
      <c r="FY275" s="41"/>
      <c r="FZ275" s="41"/>
      <c r="GA275" s="41"/>
      <c r="GB275" s="41"/>
      <c r="GC275" s="41"/>
      <c r="GD275" s="41"/>
      <c r="GE275" s="41"/>
      <c r="GF275" s="41"/>
      <c r="GG275" s="41"/>
      <c r="GH275" s="41"/>
      <c r="GI275" s="41"/>
      <c r="GJ275" s="41"/>
      <c r="GK275" s="41"/>
      <c r="GL275" s="41"/>
    </row>
    <row r="276" spans="1:194" s="21" customFormat="1" ht="47.25" x14ac:dyDescent="0.25">
      <c r="A276" s="29" t="s">
        <v>237</v>
      </c>
      <c r="B276" s="31">
        <f t="shared" si="36"/>
        <v>6396</v>
      </c>
      <c r="C276" s="31">
        <f t="shared" si="36"/>
        <v>6396</v>
      </c>
      <c r="D276" s="31">
        <f t="shared" si="36"/>
        <v>0</v>
      </c>
      <c r="E276" s="31"/>
      <c r="F276" s="31"/>
      <c r="G276" s="31">
        <f t="shared" si="37"/>
        <v>0</v>
      </c>
      <c r="H276" s="31"/>
      <c r="I276" s="31"/>
      <c r="J276" s="31">
        <f t="shared" si="38"/>
        <v>0</v>
      </c>
      <c r="K276" s="31"/>
      <c r="L276" s="31"/>
      <c r="M276" s="31">
        <f t="shared" si="39"/>
        <v>0</v>
      </c>
      <c r="N276" s="31"/>
      <c r="O276" s="31"/>
      <c r="P276" s="31">
        <f t="shared" si="40"/>
        <v>0</v>
      </c>
      <c r="Q276" s="31">
        <f>16417-10021</f>
        <v>6396</v>
      </c>
      <c r="R276" s="31">
        <f>16417-10021</f>
        <v>6396</v>
      </c>
      <c r="S276" s="31">
        <f t="shared" si="41"/>
        <v>0</v>
      </c>
      <c r="T276" s="31"/>
      <c r="U276" s="31"/>
      <c r="V276" s="31">
        <f t="shared" si="42"/>
        <v>0</v>
      </c>
      <c r="W276" s="31"/>
      <c r="X276" s="31"/>
      <c r="Y276" s="31">
        <f t="shared" si="43"/>
        <v>0</v>
      </c>
      <c r="Z276" s="31"/>
      <c r="AA276" s="31"/>
      <c r="AB276" s="31">
        <f t="shared" si="44"/>
        <v>0</v>
      </c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2"/>
      <c r="CP276" s="22"/>
      <c r="CQ276" s="22"/>
      <c r="CR276" s="22"/>
      <c r="CS276" s="22"/>
      <c r="CT276" s="22"/>
      <c r="CU276" s="22"/>
      <c r="CV276" s="22"/>
      <c r="CW276" s="22"/>
      <c r="CX276" s="22"/>
      <c r="CY276" s="22"/>
      <c r="CZ276" s="22"/>
      <c r="DA276" s="22"/>
      <c r="DB276" s="22"/>
      <c r="DC276" s="22"/>
      <c r="DD276" s="22"/>
      <c r="DE276" s="22"/>
      <c r="DF276" s="22"/>
      <c r="DG276" s="22"/>
      <c r="DH276" s="22"/>
      <c r="DI276" s="22"/>
      <c r="DJ276" s="22"/>
      <c r="DK276" s="22"/>
      <c r="DL276" s="22"/>
      <c r="DM276" s="22"/>
      <c r="DN276" s="22"/>
      <c r="DO276" s="22"/>
      <c r="DP276" s="22"/>
      <c r="DQ276" s="22"/>
      <c r="DR276" s="22"/>
      <c r="DS276" s="22"/>
      <c r="DT276" s="22"/>
      <c r="DU276" s="22"/>
      <c r="DV276" s="22"/>
      <c r="DW276" s="22"/>
      <c r="DX276" s="22"/>
      <c r="DY276" s="22"/>
      <c r="DZ276" s="22"/>
      <c r="EA276" s="22"/>
      <c r="EB276" s="22"/>
      <c r="EC276" s="22"/>
      <c r="ED276" s="22"/>
      <c r="EE276" s="22"/>
      <c r="EF276" s="22"/>
      <c r="EG276" s="22"/>
      <c r="EH276" s="22"/>
      <c r="EI276" s="22"/>
      <c r="EJ276" s="22"/>
      <c r="EK276" s="22"/>
      <c r="EL276" s="22"/>
      <c r="EM276" s="22"/>
      <c r="EN276" s="22"/>
      <c r="EO276" s="22"/>
      <c r="EP276" s="22"/>
      <c r="EQ276" s="22"/>
      <c r="ER276" s="22"/>
      <c r="ES276" s="22"/>
      <c r="ET276" s="22"/>
      <c r="EU276" s="22"/>
      <c r="EV276" s="22"/>
      <c r="EW276" s="22"/>
      <c r="EX276" s="22"/>
      <c r="EY276" s="22"/>
      <c r="EZ276" s="22"/>
      <c r="FA276" s="22"/>
      <c r="FB276" s="22"/>
      <c r="FC276" s="22"/>
      <c r="FD276" s="22"/>
      <c r="FE276" s="22"/>
      <c r="FF276" s="22"/>
      <c r="FG276" s="22"/>
      <c r="FH276" s="22"/>
      <c r="FI276" s="22"/>
      <c r="FJ276" s="22"/>
      <c r="FK276" s="22"/>
      <c r="FL276" s="22"/>
      <c r="FM276" s="22"/>
      <c r="FN276" s="22"/>
      <c r="FO276" s="22"/>
      <c r="FP276" s="22"/>
      <c r="FQ276" s="22"/>
      <c r="FR276" s="22"/>
      <c r="FS276" s="22"/>
      <c r="FT276" s="22"/>
      <c r="FU276" s="22"/>
      <c r="FV276" s="22"/>
      <c r="FW276" s="22"/>
      <c r="FX276" s="22"/>
      <c r="FY276" s="22"/>
      <c r="FZ276" s="22"/>
      <c r="GA276" s="22"/>
      <c r="GB276" s="22"/>
      <c r="GC276" s="22"/>
      <c r="GD276" s="22"/>
      <c r="GE276" s="22"/>
      <c r="GF276" s="22"/>
      <c r="GG276" s="22"/>
      <c r="GH276" s="22"/>
      <c r="GI276" s="22"/>
      <c r="GJ276" s="22"/>
      <c r="GK276" s="22"/>
      <c r="GL276" s="22"/>
    </row>
    <row r="277" spans="1:194" s="22" customFormat="1" ht="47.25" x14ac:dyDescent="0.25">
      <c r="A277" s="27" t="s">
        <v>238</v>
      </c>
      <c r="B277" s="28">
        <f t="shared" si="36"/>
        <v>5000</v>
      </c>
      <c r="C277" s="28">
        <f t="shared" si="36"/>
        <v>5000</v>
      </c>
      <c r="D277" s="28">
        <f t="shared" si="36"/>
        <v>0</v>
      </c>
      <c r="E277" s="28"/>
      <c r="F277" s="28"/>
      <c r="G277" s="28">
        <f t="shared" si="37"/>
        <v>0</v>
      </c>
      <c r="H277" s="28"/>
      <c r="I277" s="28"/>
      <c r="J277" s="28">
        <f t="shared" si="38"/>
        <v>0</v>
      </c>
      <c r="K277" s="28"/>
      <c r="L277" s="28"/>
      <c r="M277" s="28">
        <f t="shared" si="39"/>
        <v>0</v>
      </c>
      <c r="N277" s="28"/>
      <c r="O277" s="28"/>
      <c r="P277" s="28">
        <f t="shared" si="40"/>
        <v>0</v>
      </c>
      <c r="Q277" s="28">
        <v>5000</v>
      </c>
      <c r="R277" s="28">
        <v>5000</v>
      </c>
      <c r="S277" s="28">
        <f t="shared" si="41"/>
        <v>0</v>
      </c>
      <c r="T277" s="28"/>
      <c r="U277" s="28"/>
      <c r="V277" s="28">
        <f t="shared" si="42"/>
        <v>0</v>
      </c>
      <c r="W277" s="28"/>
      <c r="X277" s="28"/>
      <c r="Y277" s="28">
        <f t="shared" si="43"/>
        <v>0</v>
      </c>
      <c r="Z277" s="28"/>
      <c r="AA277" s="28"/>
      <c r="AB277" s="28">
        <f t="shared" si="44"/>
        <v>0</v>
      </c>
    </row>
    <row r="278" spans="1:194" s="22" customFormat="1" ht="47.25" x14ac:dyDescent="0.25">
      <c r="A278" s="32" t="s">
        <v>239</v>
      </c>
      <c r="B278" s="28">
        <f t="shared" si="36"/>
        <v>4836</v>
      </c>
      <c r="C278" s="28">
        <f t="shared" si="36"/>
        <v>4836</v>
      </c>
      <c r="D278" s="28">
        <f t="shared" si="36"/>
        <v>0</v>
      </c>
      <c r="E278" s="28"/>
      <c r="F278" s="28"/>
      <c r="G278" s="28">
        <f t="shared" si="37"/>
        <v>0</v>
      </c>
      <c r="H278" s="28"/>
      <c r="I278" s="28"/>
      <c r="J278" s="28">
        <f t="shared" si="38"/>
        <v>0</v>
      </c>
      <c r="K278" s="28"/>
      <c r="L278" s="28"/>
      <c r="M278" s="28">
        <f t="shared" si="39"/>
        <v>0</v>
      </c>
      <c r="N278" s="28"/>
      <c r="O278" s="28"/>
      <c r="P278" s="28">
        <f t="shared" si="40"/>
        <v>0</v>
      </c>
      <c r="Q278" s="28">
        <f>4836</f>
        <v>4836</v>
      </c>
      <c r="R278" s="28">
        <f>4836</f>
        <v>4836</v>
      </c>
      <c r="S278" s="28">
        <f t="shared" si="41"/>
        <v>0</v>
      </c>
      <c r="T278" s="28"/>
      <c r="U278" s="28"/>
      <c r="V278" s="28">
        <f t="shared" si="42"/>
        <v>0</v>
      </c>
      <c r="W278" s="28"/>
      <c r="X278" s="28"/>
      <c r="Y278" s="28">
        <f t="shared" si="43"/>
        <v>0</v>
      </c>
      <c r="Z278" s="28"/>
      <c r="AA278" s="28"/>
      <c r="AB278" s="28">
        <f t="shared" si="44"/>
        <v>0</v>
      </c>
    </row>
    <row r="279" spans="1:194" s="22" customFormat="1" ht="31.5" x14ac:dyDescent="0.25">
      <c r="A279" s="27" t="s">
        <v>240</v>
      </c>
      <c r="B279" s="28">
        <f t="shared" si="36"/>
        <v>3000</v>
      </c>
      <c r="C279" s="28">
        <f t="shared" si="36"/>
        <v>3000</v>
      </c>
      <c r="D279" s="28">
        <f t="shared" si="36"/>
        <v>0</v>
      </c>
      <c r="E279" s="28"/>
      <c r="F279" s="28"/>
      <c r="G279" s="28">
        <f t="shared" si="37"/>
        <v>0</v>
      </c>
      <c r="H279" s="28"/>
      <c r="I279" s="28"/>
      <c r="J279" s="28">
        <f t="shared" si="38"/>
        <v>0</v>
      </c>
      <c r="K279" s="28"/>
      <c r="L279" s="28"/>
      <c r="M279" s="28">
        <f t="shared" si="39"/>
        <v>0</v>
      </c>
      <c r="N279" s="28"/>
      <c r="O279" s="28"/>
      <c r="P279" s="28">
        <f t="shared" si="40"/>
        <v>0</v>
      </c>
      <c r="Q279" s="28">
        <v>3000</v>
      </c>
      <c r="R279" s="28">
        <v>3000</v>
      </c>
      <c r="S279" s="28">
        <f t="shared" si="41"/>
        <v>0</v>
      </c>
      <c r="T279" s="28"/>
      <c r="U279" s="28"/>
      <c r="V279" s="28">
        <f t="shared" si="42"/>
        <v>0</v>
      </c>
      <c r="W279" s="28"/>
      <c r="X279" s="28"/>
      <c r="Y279" s="28">
        <f t="shared" si="43"/>
        <v>0</v>
      </c>
      <c r="Z279" s="28"/>
      <c r="AA279" s="28"/>
      <c r="AB279" s="28">
        <f t="shared" si="44"/>
        <v>0</v>
      </c>
    </row>
    <row r="280" spans="1:194" s="22" customFormat="1" x14ac:dyDescent="0.25">
      <c r="A280" s="19" t="s">
        <v>174</v>
      </c>
      <c r="B280" s="20">
        <f t="shared" si="36"/>
        <v>0</v>
      </c>
      <c r="C280" s="20">
        <f t="shared" si="36"/>
        <v>0</v>
      </c>
      <c r="D280" s="20">
        <f t="shared" si="36"/>
        <v>0</v>
      </c>
      <c r="E280" s="20">
        <f>SUM(E281:E281)</f>
        <v>0</v>
      </c>
      <c r="F280" s="20">
        <f>SUM(F281:F281)</f>
        <v>0</v>
      </c>
      <c r="G280" s="20">
        <f t="shared" si="37"/>
        <v>0</v>
      </c>
      <c r="H280" s="20">
        <f>SUM(H281:H281)</f>
        <v>0</v>
      </c>
      <c r="I280" s="20">
        <f>SUM(I281:I281)</f>
        <v>0</v>
      </c>
      <c r="J280" s="20">
        <f t="shared" si="38"/>
        <v>0</v>
      </c>
      <c r="K280" s="20">
        <f>SUM(K281:K281)</f>
        <v>0</v>
      </c>
      <c r="L280" s="20">
        <f>SUM(L281:L281)</f>
        <v>0</v>
      </c>
      <c r="M280" s="20">
        <f t="shared" si="39"/>
        <v>0</v>
      </c>
      <c r="N280" s="20">
        <f>SUM(N281:N281)</f>
        <v>0</v>
      </c>
      <c r="O280" s="20">
        <f>SUM(O281:O281)</f>
        <v>0</v>
      </c>
      <c r="P280" s="20">
        <f t="shared" si="40"/>
        <v>0</v>
      </c>
      <c r="Q280" s="20">
        <f>SUM(Q281:Q281)</f>
        <v>0</v>
      </c>
      <c r="R280" s="20">
        <f>SUM(R281:R281)</f>
        <v>0</v>
      </c>
      <c r="S280" s="20">
        <f t="shared" si="41"/>
        <v>0</v>
      </c>
      <c r="T280" s="20">
        <f>SUM(T281:T281)</f>
        <v>0</v>
      </c>
      <c r="U280" s="20">
        <f>SUM(U281:U281)</f>
        <v>0</v>
      </c>
      <c r="V280" s="20">
        <f t="shared" si="42"/>
        <v>0</v>
      </c>
      <c r="W280" s="20">
        <f>SUM(W281:W281)</f>
        <v>0</v>
      </c>
      <c r="X280" s="20">
        <f>SUM(X281:X281)</f>
        <v>0</v>
      </c>
      <c r="Y280" s="20">
        <f t="shared" si="43"/>
        <v>0</v>
      </c>
      <c r="Z280" s="20">
        <f>SUM(Z281:Z281)</f>
        <v>0</v>
      </c>
      <c r="AA280" s="20">
        <f>SUM(AA281:AA281)</f>
        <v>0</v>
      </c>
      <c r="AB280" s="20">
        <f t="shared" si="44"/>
        <v>0</v>
      </c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1"/>
      <c r="BY280" s="21"/>
      <c r="BZ280" s="21"/>
      <c r="CA280" s="21"/>
      <c r="CB280" s="21"/>
      <c r="CC280" s="21"/>
      <c r="CD280" s="21"/>
      <c r="CE280" s="21"/>
      <c r="CF280" s="21"/>
      <c r="CG280" s="21"/>
      <c r="CH280" s="21"/>
      <c r="CI280" s="21"/>
      <c r="CJ280" s="21"/>
      <c r="CK280" s="21"/>
      <c r="CL280" s="21"/>
      <c r="CM280" s="21"/>
      <c r="CN280" s="21"/>
      <c r="CO280" s="21"/>
      <c r="CP280" s="21"/>
      <c r="CQ280" s="21"/>
      <c r="CR280" s="21"/>
      <c r="CS280" s="21"/>
      <c r="CT280" s="21"/>
      <c r="CU280" s="21"/>
      <c r="CV280" s="21"/>
      <c r="CW280" s="21"/>
      <c r="CX280" s="21"/>
      <c r="CY280" s="21"/>
      <c r="CZ280" s="21"/>
      <c r="DA280" s="21"/>
      <c r="DB280" s="21"/>
      <c r="DC280" s="21"/>
      <c r="DD280" s="21"/>
      <c r="DE280" s="21"/>
      <c r="DF280" s="21"/>
      <c r="DG280" s="21"/>
      <c r="DH280" s="21"/>
      <c r="DI280" s="21"/>
      <c r="DJ280" s="21"/>
      <c r="DK280" s="21"/>
      <c r="DL280" s="21"/>
      <c r="DM280" s="21"/>
      <c r="DN280" s="21"/>
      <c r="DO280" s="21"/>
      <c r="DP280" s="21"/>
      <c r="DQ280" s="21"/>
      <c r="DR280" s="21"/>
      <c r="DS280" s="21"/>
      <c r="DT280" s="21"/>
      <c r="DU280" s="21"/>
      <c r="DV280" s="21"/>
      <c r="DW280" s="21"/>
      <c r="DX280" s="21"/>
      <c r="DY280" s="21"/>
      <c r="DZ280" s="21"/>
      <c r="EA280" s="21"/>
      <c r="EB280" s="21"/>
      <c r="EC280" s="21"/>
      <c r="ED280" s="21"/>
      <c r="EE280" s="21"/>
      <c r="EF280" s="21"/>
      <c r="EG280" s="21"/>
      <c r="EH280" s="21"/>
      <c r="EI280" s="21"/>
      <c r="EJ280" s="21"/>
      <c r="EK280" s="21"/>
      <c r="EL280" s="21"/>
      <c r="EM280" s="21"/>
      <c r="EN280" s="21"/>
      <c r="EO280" s="21"/>
      <c r="EP280" s="21"/>
      <c r="EQ280" s="21"/>
      <c r="ER280" s="21"/>
      <c r="ES280" s="21"/>
      <c r="ET280" s="21"/>
      <c r="EU280" s="21"/>
      <c r="EV280" s="21"/>
      <c r="EW280" s="21"/>
      <c r="EX280" s="21"/>
      <c r="EY280" s="21"/>
      <c r="EZ280" s="21"/>
      <c r="FA280" s="21"/>
      <c r="FB280" s="21"/>
      <c r="FC280" s="21"/>
      <c r="FD280" s="21"/>
      <c r="FE280" s="21"/>
      <c r="FF280" s="21"/>
      <c r="FG280" s="21"/>
      <c r="FH280" s="21"/>
      <c r="FI280" s="21"/>
      <c r="FJ280" s="21"/>
      <c r="FK280" s="21"/>
      <c r="FL280" s="21"/>
      <c r="FM280" s="21"/>
      <c r="FN280" s="21"/>
      <c r="FO280" s="21"/>
      <c r="FP280" s="21"/>
      <c r="FQ280" s="21"/>
      <c r="FR280" s="21"/>
      <c r="FS280" s="21"/>
      <c r="FT280" s="21"/>
      <c r="FU280" s="21"/>
      <c r="FV280" s="21"/>
      <c r="FW280" s="21"/>
      <c r="FX280" s="21"/>
      <c r="FY280" s="21"/>
      <c r="FZ280" s="21"/>
      <c r="GA280" s="21"/>
      <c r="GB280" s="21"/>
      <c r="GC280" s="21"/>
      <c r="GD280" s="21"/>
      <c r="GE280" s="21"/>
      <c r="GF280" s="21"/>
      <c r="GG280" s="21"/>
      <c r="GH280" s="21"/>
      <c r="GI280" s="21"/>
      <c r="GJ280" s="21"/>
      <c r="GK280" s="21"/>
      <c r="GL280" s="21"/>
    </row>
    <row r="281" spans="1:194" s="22" customFormat="1" x14ac:dyDescent="0.25">
      <c r="A281" s="27"/>
      <c r="B281" s="28">
        <f t="shared" si="36"/>
        <v>0</v>
      </c>
      <c r="C281" s="28">
        <f t="shared" si="36"/>
        <v>0</v>
      </c>
      <c r="D281" s="28">
        <f t="shared" si="36"/>
        <v>0</v>
      </c>
      <c r="E281" s="28"/>
      <c r="F281" s="28"/>
      <c r="G281" s="28">
        <f t="shared" si="37"/>
        <v>0</v>
      </c>
      <c r="H281" s="28"/>
      <c r="I281" s="28"/>
      <c r="J281" s="28">
        <f t="shared" si="38"/>
        <v>0</v>
      </c>
      <c r="K281" s="28"/>
      <c r="L281" s="28"/>
      <c r="M281" s="28">
        <f t="shared" si="39"/>
        <v>0</v>
      </c>
      <c r="N281" s="28"/>
      <c r="O281" s="28"/>
      <c r="P281" s="28">
        <f t="shared" si="40"/>
        <v>0</v>
      </c>
      <c r="Q281" s="28"/>
      <c r="R281" s="28"/>
      <c r="S281" s="28">
        <f t="shared" si="41"/>
        <v>0</v>
      </c>
      <c r="T281" s="28"/>
      <c r="U281" s="28"/>
      <c r="V281" s="28">
        <f t="shared" si="42"/>
        <v>0</v>
      </c>
      <c r="W281" s="28"/>
      <c r="X281" s="28"/>
      <c r="Y281" s="28">
        <f t="shared" si="43"/>
        <v>0</v>
      </c>
      <c r="Z281" s="28"/>
      <c r="AA281" s="28"/>
      <c r="AB281" s="28">
        <f t="shared" si="44"/>
        <v>0</v>
      </c>
    </row>
    <row r="282" spans="1:194" s="22" customFormat="1" x14ac:dyDescent="0.25">
      <c r="A282" s="19" t="s">
        <v>176</v>
      </c>
      <c r="B282" s="20">
        <f t="shared" si="36"/>
        <v>103910</v>
      </c>
      <c r="C282" s="20">
        <f t="shared" si="36"/>
        <v>103910</v>
      </c>
      <c r="D282" s="20">
        <f t="shared" si="36"/>
        <v>0</v>
      </c>
      <c r="E282" s="20">
        <f>SUM(E283:E289)</f>
        <v>0</v>
      </c>
      <c r="F282" s="20">
        <f>SUM(F283:F289)</f>
        <v>0</v>
      </c>
      <c r="G282" s="20">
        <f t="shared" si="37"/>
        <v>0</v>
      </c>
      <c r="H282" s="20">
        <f>SUM(H283:H289)</f>
        <v>0</v>
      </c>
      <c r="I282" s="20">
        <f>SUM(I283:I289)</f>
        <v>0</v>
      </c>
      <c r="J282" s="20">
        <f t="shared" si="38"/>
        <v>0</v>
      </c>
      <c r="K282" s="20">
        <f>SUM(K283:K289)</f>
        <v>1434</v>
      </c>
      <c r="L282" s="20">
        <f>SUM(L283:L289)</f>
        <v>1434</v>
      </c>
      <c r="M282" s="20">
        <f t="shared" si="39"/>
        <v>0</v>
      </c>
      <c r="N282" s="20">
        <f>SUM(N283:N289)</f>
        <v>15080</v>
      </c>
      <c r="O282" s="20">
        <f>SUM(O283:O289)</f>
        <v>15080</v>
      </c>
      <c r="P282" s="20">
        <f t="shared" si="40"/>
        <v>0</v>
      </c>
      <c r="Q282" s="20">
        <f>SUM(Q283:Q289)</f>
        <v>87396</v>
      </c>
      <c r="R282" s="20">
        <f>SUM(R283:R289)</f>
        <v>87396</v>
      </c>
      <c r="S282" s="20">
        <f t="shared" si="41"/>
        <v>0</v>
      </c>
      <c r="T282" s="20">
        <f>SUM(T283:T289)</f>
        <v>0</v>
      </c>
      <c r="U282" s="20">
        <f>SUM(U283:U289)</f>
        <v>0</v>
      </c>
      <c r="V282" s="20">
        <f t="shared" si="42"/>
        <v>0</v>
      </c>
      <c r="W282" s="20">
        <f>SUM(W283:W289)</f>
        <v>0</v>
      </c>
      <c r="X282" s="20">
        <f>SUM(X283:X289)</f>
        <v>0</v>
      </c>
      <c r="Y282" s="20">
        <f t="shared" si="43"/>
        <v>0</v>
      </c>
      <c r="Z282" s="20">
        <f>SUM(Z283:Z289)</f>
        <v>0</v>
      </c>
      <c r="AA282" s="20">
        <f>SUM(AA283:AA289)</f>
        <v>0</v>
      </c>
      <c r="AB282" s="20">
        <f t="shared" si="44"/>
        <v>0</v>
      </c>
    </row>
    <row r="283" spans="1:194" s="21" customFormat="1" ht="47.25" x14ac:dyDescent="0.25">
      <c r="A283" s="29" t="s">
        <v>241</v>
      </c>
      <c r="B283" s="31">
        <f t="shared" si="36"/>
        <v>32020</v>
      </c>
      <c r="C283" s="31">
        <f t="shared" si="36"/>
        <v>32020</v>
      </c>
      <c r="D283" s="31">
        <f t="shared" si="36"/>
        <v>0</v>
      </c>
      <c r="E283" s="31"/>
      <c r="F283" s="31"/>
      <c r="G283" s="31">
        <f t="shared" si="37"/>
        <v>0</v>
      </c>
      <c r="H283" s="31"/>
      <c r="I283" s="31"/>
      <c r="J283" s="31">
        <f t="shared" si="38"/>
        <v>0</v>
      </c>
      <c r="K283" s="31"/>
      <c r="L283" s="31"/>
      <c r="M283" s="31">
        <f t="shared" si="39"/>
        <v>0</v>
      </c>
      <c r="N283" s="31"/>
      <c r="O283" s="31"/>
      <c r="P283" s="31">
        <f t="shared" si="40"/>
        <v>0</v>
      </c>
      <c r="Q283" s="31">
        <f>15972+16048</f>
        <v>32020</v>
      </c>
      <c r="R283" s="31">
        <f>15972+16048</f>
        <v>32020</v>
      </c>
      <c r="S283" s="31">
        <f t="shared" si="41"/>
        <v>0</v>
      </c>
      <c r="T283" s="31"/>
      <c r="U283" s="31"/>
      <c r="V283" s="31">
        <f t="shared" si="42"/>
        <v>0</v>
      </c>
      <c r="W283" s="31"/>
      <c r="X283" s="31"/>
      <c r="Y283" s="31">
        <f t="shared" si="43"/>
        <v>0</v>
      </c>
      <c r="Z283" s="31"/>
      <c r="AA283" s="31"/>
      <c r="AB283" s="31">
        <f t="shared" si="44"/>
        <v>0</v>
      </c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2"/>
      <c r="CP283" s="22"/>
      <c r="CQ283" s="22"/>
      <c r="CR283" s="22"/>
      <c r="CS283" s="22"/>
      <c r="CT283" s="22"/>
      <c r="CU283" s="22"/>
      <c r="CV283" s="22"/>
      <c r="CW283" s="22"/>
      <c r="CX283" s="22"/>
      <c r="CY283" s="22"/>
      <c r="CZ283" s="22"/>
      <c r="DA283" s="22"/>
      <c r="DB283" s="22"/>
      <c r="DC283" s="22"/>
      <c r="DD283" s="22"/>
      <c r="DE283" s="22"/>
      <c r="DF283" s="22"/>
      <c r="DG283" s="22"/>
      <c r="DH283" s="22"/>
      <c r="DI283" s="22"/>
      <c r="DJ283" s="22"/>
      <c r="DK283" s="22"/>
      <c r="DL283" s="22"/>
      <c r="DM283" s="22"/>
      <c r="DN283" s="22"/>
      <c r="DO283" s="22"/>
      <c r="DP283" s="22"/>
      <c r="DQ283" s="22"/>
      <c r="DR283" s="22"/>
      <c r="DS283" s="22"/>
      <c r="DT283" s="22"/>
      <c r="DU283" s="22"/>
      <c r="DV283" s="22"/>
      <c r="DW283" s="22"/>
      <c r="DX283" s="22"/>
      <c r="DY283" s="22"/>
      <c r="DZ283" s="22"/>
      <c r="EA283" s="22"/>
      <c r="EB283" s="22"/>
      <c r="EC283" s="22"/>
      <c r="ED283" s="22"/>
      <c r="EE283" s="22"/>
      <c r="EF283" s="22"/>
      <c r="EG283" s="22"/>
      <c r="EH283" s="22"/>
      <c r="EI283" s="22"/>
      <c r="EJ283" s="22"/>
      <c r="EK283" s="22"/>
      <c r="EL283" s="22"/>
      <c r="EM283" s="22"/>
      <c r="EN283" s="22"/>
      <c r="EO283" s="22"/>
      <c r="EP283" s="22"/>
      <c r="EQ283" s="22"/>
      <c r="ER283" s="22"/>
      <c r="ES283" s="22"/>
      <c r="ET283" s="22"/>
      <c r="EU283" s="22"/>
      <c r="EV283" s="22"/>
      <c r="EW283" s="22"/>
      <c r="EX283" s="22"/>
      <c r="EY283" s="22"/>
      <c r="EZ283" s="22"/>
      <c r="FA283" s="22"/>
      <c r="FB283" s="22"/>
      <c r="FC283" s="22"/>
      <c r="FD283" s="22"/>
      <c r="FE283" s="22"/>
      <c r="FF283" s="22"/>
      <c r="FG283" s="22"/>
      <c r="FH283" s="22"/>
      <c r="FI283" s="22"/>
      <c r="FJ283" s="22"/>
      <c r="FK283" s="22"/>
      <c r="FL283" s="22"/>
      <c r="FM283" s="22"/>
      <c r="FN283" s="22"/>
      <c r="FO283" s="22"/>
      <c r="FP283" s="22"/>
      <c r="FQ283" s="22"/>
      <c r="FR283" s="22"/>
      <c r="FS283" s="22"/>
      <c r="FT283" s="22"/>
      <c r="FU283" s="22"/>
      <c r="FV283" s="22"/>
      <c r="FW283" s="22"/>
      <c r="FX283" s="22"/>
      <c r="FY283" s="22"/>
      <c r="FZ283" s="22"/>
      <c r="GA283" s="22"/>
      <c r="GB283" s="22"/>
      <c r="GC283" s="22"/>
      <c r="GD283" s="22"/>
      <c r="GE283" s="22"/>
      <c r="GF283" s="22"/>
      <c r="GG283" s="22"/>
      <c r="GH283" s="22"/>
      <c r="GI283" s="22"/>
      <c r="GJ283" s="22"/>
      <c r="GK283" s="22"/>
      <c r="GL283" s="22"/>
    </row>
    <row r="284" spans="1:194" s="22" customFormat="1" ht="47.25" x14ac:dyDescent="0.25">
      <c r="A284" s="32" t="s">
        <v>242</v>
      </c>
      <c r="B284" s="28">
        <f t="shared" si="36"/>
        <v>51628</v>
      </c>
      <c r="C284" s="28">
        <f t="shared" si="36"/>
        <v>51628</v>
      </c>
      <c r="D284" s="28">
        <f t="shared" si="36"/>
        <v>0</v>
      </c>
      <c r="E284" s="28"/>
      <c r="F284" s="28"/>
      <c r="G284" s="28">
        <f t="shared" si="37"/>
        <v>0</v>
      </c>
      <c r="H284" s="28"/>
      <c r="I284" s="28"/>
      <c r="J284" s="28">
        <f t="shared" si="38"/>
        <v>0</v>
      </c>
      <c r="K284" s="28"/>
      <c r="L284" s="28"/>
      <c r="M284" s="28">
        <f t="shared" si="39"/>
        <v>0</v>
      </c>
      <c r="N284" s="28"/>
      <c r="O284" s="28"/>
      <c r="P284" s="28">
        <f t="shared" si="40"/>
        <v>0</v>
      </c>
      <c r="Q284" s="28">
        <v>51628</v>
      </c>
      <c r="R284" s="28">
        <v>51628</v>
      </c>
      <c r="S284" s="28">
        <f t="shared" si="41"/>
        <v>0</v>
      </c>
      <c r="T284" s="28"/>
      <c r="U284" s="28"/>
      <c r="V284" s="28">
        <f t="shared" si="42"/>
        <v>0</v>
      </c>
      <c r="W284" s="28"/>
      <c r="X284" s="28"/>
      <c r="Y284" s="28">
        <f t="shared" si="43"/>
        <v>0</v>
      </c>
      <c r="Z284" s="28"/>
      <c r="AA284" s="28"/>
      <c r="AB284" s="28">
        <f t="shared" si="44"/>
        <v>0</v>
      </c>
    </row>
    <row r="285" spans="1:194" s="21" customFormat="1" ht="47.25" x14ac:dyDescent="0.25">
      <c r="A285" s="29" t="s">
        <v>243</v>
      </c>
      <c r="B285" s="31">
        <f t="shared" si="36"/>
        <v>3748</v>
      </c>
      <c r="C285" s="31">
        <f t="shared" si="36"/>
        <v>3748</v>
      </c>
      <c r="D285" s="31">
        <f t="shared" si="36"/>
        <v>0</v>
      </c>
      <c r="E285" s="31"/>
      <c r="F285" s="31"/>
      <c r="G285" s="31">
        <f t="shared" si="37"/>
        <v>0</v>
      </c>
      <c r="H285" s="31"/>
      <c r="I285" s="31"/>
      <c r="J285" s="31">
        <f t="shared" si="38"/>
        <v>0</v>
      </c>
      <c r="K285" s="31"/>
      <c r="L285" s="31"/>
      <c r="M285" s="31">
        <f t="shared" si="39"/>
        <v>0</v>
      </c>
      <c r="N285" s="31"/>
      <c r="O285" s="31"/>
      <c r="P285" s="31">
        <f t="shared" si="40"/>
        <v>0</v>
      </c>
      <c r="Q285" s="31">
        <v>3748</v>
      </c>
      <c r="R285" s="31">
        <v>3748</v>
      </c>
      <c r="S285" s="31">
        <f t="shared" si="41"/>
        <v>0</v>
      </c>
      <c r="T285" s="31"/>
      <c r="U285" s="31"/>
      <c r="V285" s="31">
        <f t="shared" si="42"/>
        <v>0</v>
      </c>
      <c r="W285" s="31"/>
      <c r="X285" s="31"/>
      <c r="Y285" s="31">
        <f t="shared" si="43"/>
        <v>0</v>
      </c>
      <c r="Z285" s="31"/>
      <c r="AA285" s="31"/>
      <c r="AB285" s="31">
        <f t="shared" si="44"/>
        <v>0</v>
      </c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2"/>
      <c r="CP285" s="22"/>
      <c r="CQ285" s="22"/>
      <c r="CR285" s="22"/>
      <c r="CS285" s="22"/>
      <c r="CT285" s="22"/>
      <c r="CU285" s="22"/>
      <c r="CV285" s="22"/>
      <c r="CW285" s="22"/>
      <c r="CX285" s="22"/>
      <c r="CY285" s="22"/>
      <c r="CZ285" s="22"/>
      <c r="DA285" s="22"/>
      <c r="DB285" s="22"/>
      <c r="DC285" s="22"/>
      <c r="DD285" s="22"/>
      <c r="DE285" s="22"/>
      <c r="DF285" s="22"/>
      <c r="DG285" s="22"/>
      <c r="DH285" s="22"/>
      <c r="DI285" s="22"/>
      <c r="DJ285" s="22"/>
      <c r="DK285" s="22"/>
      <c r="DL285" s="22"/>
      <c r="DM285" s="22"/>
      <c r="DN285" s="22"/>
      <c r="DO285" s="22"/>
      <c r="DP285" s="22"/>
      <c r="DQ285" s="22"/>
      <c r="DR285" s="22"/>
      <c r="DS285" s="22"/>
      <c r="DT285" s="22"/>
      <c r="DU285" s="22"/>
      <c r="DV285" s="22"/>
      <c r="DW285" s="22"/>
      <c r="DX285" s="22"/>
      <c r="DY285" s="22"/>
      <c r="DZ285" s="22"/>
      <c r="EA285" s="22"/>
      <c r="EB285" s="22"/>
      <c r="EC285" s="22"/>
      <c r="ED285" s="22"/>
      <c r="EE285" s="22"/>
      <c r="EF285" s="22"/>
      <c r="EG285" s="22"/>
      <c r="EH285" s="22"/>
      <c r="EI285" s="22"/>
      <c r="EJ285" s="22"/>
      <c r="EK285" s="22"/>
      <c r="EL285" s="22"/>
      <c r="EM285" s="22"/>
      <c r="EN285" s="22"/>
      <c r="EO285" s="22"/>
      <c r="EP285" s="22"/>
      <c r="EQ285" s="22"/>
      <c r="ER285" s="22"/>
      <c r="ES285" s="22"/>
      <c r="ET285" s="22"/>
      <c r="EU285" s="22"/>
      <c r="EV285" s="22"/>
      <c r="EW285" s="22"/>
      <c r="EX285" s="22"/>
      <c r="EY285" s="22"/>
      <c r="EZ285" s="22"/>
      <c r="FA285" s="22"/>
      <c r="FB285" s="22"/>
      <c r="FC285" s="22"/>
      <c r="FD285" s="22"/>
      <c r="FE285" s="22"/>
      <c r="FF285" s="22"/>
      <c r="FG285" s="22"/>
      <c r="FH285" s="22"/>
      <c r="FI285" s="22"/>
      <c r="FJ285" s="22"/>
      <c r="FK285" s="22"/>
      <c r="FL285" s="22"/>
      <c r="FM285" s="22"/>
      <c r="FN285" s="22"/>
      <c r="FO285" s="22"/>
      <c r="FP285" s="22"/>
      <c r="FQ285" s="22"/>
      <c r="FR285" s="22"/>
      <c r="FS285" s="22"/>
      <c r="FT285" s="22"/>
      <c r="FU285" s="22"/>
      <c r="FV285" s="22"/>
      <c r="FW285" s="22"/>
      <c r="FX285" s="22"/>
      <c r="FY285" s="22"/>
      <c r="FZ285" s="22"/>
      <c r="GA285" s="22"/>
      <c r="GB285" s="22"/>
      <c r="GC285" s="22"/>
      <c r="GD285" s="22"/>
      <c r="GE285" s="22"/>
      <c r="GF285" s="22"/>
      <c r="GG285" s="22"/>
      <c r="GH285" s="22"/>
      <c r="GI285" s="22"/>
      <c r="GJ285" s="22"/>
      <c r="GK285" s="22"/>
      <c r="GL285" s="22"/>
    </row>
    <row r="286" spans="1:194" s="22" customFormat="1" x14ac:dyDescent="0.25">
      <c r="A286" s="27" t="s">
        <v>244</v>
      </c>
      <c r="B286" s="28">
        <f t="shared" si="36"/>
        <v>1434</v>
      </c>
      <c r="C286" s="28">
        <f t="shared" si="36"/>
        <v>1434</v>
      </c>
      <c r="D286" s="28">
        <f t="shared" si="36"/>
        <v>0</v>
      </c>
      <c r="E286" s="28"/>
      <c r="F286" s="28"/>
      <c r="G286" s="28">
        <f t="shared" si="37"/>
        <v>0</v>
      </c>
      <c r="H286" s="28"/>
      <c r="I286" s="28"/>
      <c r="J286" s="28">
        <f t="shared" si="38"/>
        <v>0</v>
      </c>
      <c r="K286" s="28">
        <v>1434</v>
      </c>
      <c r="L286" s="28">
        <v>1434</v>
      </c>
      <c r="M286" s="28">
        <f t="shared" si="39"/>
        <v>0</v>
      </c>
      <c r="N286" s="28"/>
      <c r="O286" s="28"/>
      <c r="P286" s="28">
        <f t="shared" si="40"/>
        <v>0</v>
      </c>
      <c r="Q286" s="28"/>
      <c r="R286" s="28"/>
      <c r="S286" s="28">
        <f t="shared" si="41"/>
        <v>0</v>
      </c>
      <c r="T286" s="28"/>
      <c r="U286" s="28"/>
      <c r="V286" s="28">
        <f t="shared" si="42"/>
        <v>0</v>
      </c>
      <c r="W286" s="28"/>
      <c r="X286" s="28"/>
      <c r="Y286" s="28">
        <f t="shared" si="43"/>
        <v>0</v>
      </c>
      <c r="Z286" s="28"/>
      <c r="AA286" s="28"/>
      <c r="AB286" s="28">
        <f t="shared" si="44"/>
        <v>0</v>
      </c>
    </row>
    <row r="287" spans="1:194" s="21" customFormat="1" ht="31.5" x14ac:dyDescent="0.25">
      <c r="A287" s="29" t="s">
        <v>245</v>
      </c>
      <c r="B287" s="31">
        <f t="shared" si="36"/>
        <v>1774</v>
      </c>
      <c r="C287" s="31">
        <f t="shared" si="36"/>
        <v>1774</v>
      </c>
      <c r="D287" s="31">
        <f t="shared" si="36"/>
        <v>0</v>
      </c>
      <c r="E287" s="31"/>
      <c r="F287" s="31"/>
      <c r="G287" s="31">
        <f t="shared" si="37"/>
        <v>0</v>
      </c>
      <c r="H287" s="31"/>
      <c r="I287" s="31"/>
      <c r="J287" s="31">
        <f t="shared" si="38"/>
        <v>0</v>
      </c>
      <c r="K287" s="31"/>
      <c r="L287" s="31"/>
      <c r="M287" s="31">
        <f t="shared" si="39"/>
        <v>0</v>
      </c>
      <c r="N287" s="31">
        <v>1774</v>
      </c>
      <c r="O287" s="31">
        <v>1774</v>
      </c>
      <c r="P287" s="31">
        <f t="shared" si="40"/>
        <v>0</v>
      </c>
      <c r="Q287" s="31"/>
      <c r="R287" s="31"/>
      <c r="S287" s="31">
        <f t="shared" si="41"/>
        <v>0</v>
      </c>
      <c r="T287" s="31"/>
      <c r="U287" s="31"/>
      <c r="V287" s="31">
        <f t="shared" si="42"/>
        <v>0</v>
      </c>
      <c r="W287" s="31"/>
      <c r="X287" s="31"/>
      <c r="Y287" s="31">
        <f t="shared" si="43"/>
        <v>0</v>
      </c>
      <c r="Z287" s="31"/>
      <c r="AA287" s="31"/>
      <c r="AB287" s="31">
        <f t="shared" si="44"/>
        <v>0</v>
      </c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2"/>
      <c r="CP287" s="22"/>
      <c r="CQ287" s="22"/>
      <c r="CR287" s="22"/>
      <c r="CS287" s="22"/>
      <c r="CT287" s="22"/>
      <c r="CU287" s="22"/>
      <c r="CV287" s="22"/>
      <c r="CW287" s="22"/>
      <c r="CX287" s="22"/>
      <c r="CY287" s="22"/>
      <c r="CZ287" s="22"/>
      <c r="DA287" s="22"/>
      <c r="DB287" s="22"/>
      <c r="DC287" s="22"/>
      <c r="DD287" s="22"/>
      <c r="DE287" s="22"/>
      <c r="DF287" s="22"/>
      <c r="DG287" s="22"/>
      <c r="DH287" s="22"/>
      <c r="DI287" s="22"/>
      <c r="DJ287" s="22"/>
      <c r="DK287" s="22"/>
      <c r="DL287" s="22"/>
      <c r="DM287" s="22"/>
      <c r="DN287" s="22"/>
      <c r="DO287" s="22"/>
      <c r="DP287" s="22"/>
      <c r="DQ287" s="22"/>
      <c r="DR287" s="22"/>
      <c r="DS287" s="22"/>
      <c r="DT287" s="22"/>
      <c r="DU287" s="22"/>
      <c r="DV287" s="22"/>
      <c r="DW287" s="22"/>
      <c r="DX287" s="22"/>
      <c r="DY287" s="22"/>
      <c r="DZ287" s="22"/>
      <c r="EA287" s="22"/>
      <c r="EB287" s="22"/>
      <c r="EC287" s="22"/>
      <c r="ED287" s="22"/>
      <c r="EE287" s="22"/>
      <c r="EF287" s="22"/>
      <c r="EG287" s="22"/>
      <c r="EH287" s="22"/>
      <c r="EI287" s="22"/>
      <c r="EJ287" s="22"/>
      <c r="EK287" s="22"/>
      <c r="EL287" s="22"/>
      <c r="EM287" s="22"/>
      <c r="EN287" s="22"/>
      <c r="EO287" s="22"/>
      <c r="EP287" s="22"/>
      <c r="EQ287" s="22"/>
      <c r="ER287" s="22"/>
      <c r="ES287" s="22"/>
      <c r="ET287" s="22"/>
      <c r="EU287" s="22"/>
      <c r="EV287" s="22"/>
      <c r="EW287" s="22"/>
      <c r="EX287" s="22"/>
      <c r="EY287" s="22"/>
      <c r="EZ287" s="22"/>
      <c r="FA287" s="22"/>
      <c r="FB287" s="22"/>
      <c r="FC287" s="22"/>
      <c r="FD287" s="22"/>
      <c r="FE287" s="22"/>
      <c r="FF287" s="22"/>
      <c r="FG287" s="22"/>
      <c r="FH287" s="22"/>
      <c r="FI287" s="22"/>
      <c r="FJ287" s="22"/>
      <c r="FK287" s="22"/>
      <c r="FL287" s="22"/>
      <c r="FM287" s="22"/>
      <c r="FN287" s="22"/>
      <c r="FO287" s="22"/>
      <c r="FP287" s="22"/>
      <c r="FQ287" s="22"/>
      <c r="FR287" s="22"/>
      <c r="FS287" s="22"/>
      <c r="FT287" s="22"/>
      <c r="FU287" s="22"/>
      <c r="FV287" s="22"/>
      <c r="FW287" s="22"/>
      <c r="FX287" s="22"/>
      <c r="FY287" s="22"/>
      <c r="FZ287" s="22"/>
      <c r="GA287" s="22"/>
      <c r="GB287" s="22"/>
      <c r="GC287" s="22"/>
      <c r="GD287" s="22"/>
      <c r="GE287" s="22"/>
      <c r="GF287" s="22"/>
      <c r="GG287" s="22"/>
      <c r="GH287" s="22"/>
      <c r="GI287" s="22"/>
      <c r="GJ287" s="22"/>
      <c r="GK287" s="22"/>
      <c r="GL287" s="22"/>
    </row>
    <row r="288" spans="1:194" s="21" customFormat="1" ht="31.5" x14ac:dyDescent="0.25">
      <c r="A288" s="29" t="s">
        <v>246</v>
      </c>
      <c r="B288" s="31">
        <f t="shared" si="36"/>
        <v>1500</v>
      </c>
      <c r="C288" s="31">
        <f t="shared" si="36"/>
        <v>1500</v>
      </c>
      <c r="D288" s="31">
        <f t="shared" si="36"/>
        <v>0</v>
      </c>
      <c r="E288" s="31"/>
      <c r="F288" s="31"/>
      <c r="G288" s="31">
        <f t="shared" si="37"/>
        <v>0</v>
      </c>
      <c r="H288" s="31"/>
      <c r="I288" s="31"/>
      <c r="J288" s="31">
        <f t="shared" si="38"/>
        <v>0</v>
      </c>
      <c r="K288" s="31"/>
      <c r="L288" s="31"/>
      <c r="M288" s="31">
        <f t="shared" si="39"/>
        <v>0</v>
      </c>
      <c r="N288" s="31">
        <v>1500</v>
      </c>
      <c r="O288" s="31">
        <v>1500</v>
      </c>
      <c r="P288" s="31">
        <f t="shared" si="40"/>
        <v>0</v>
      </c>
      <c r="Q288" s="31"/>
      <c r="R288" s="31"/>
      <c r="S288" s="31">
        <f t="shared" si="41"/>
        <v>0</v>
      </c>
      <c r="T288" s="31"/>
      <c r="U288" s="31"/>
      <c r="V288" s="31">
        <f t="shared" si="42"/>
        <v>0</v>
      </c>
      <c r="W288" s="31"/>
      <c r="X288" s="31"/>
      <c r="Y288" s="31">
        <f t="shared" si="43"/>
        <v>0</v>
      </c>
      <c r="Z288" s="31"/>
      <c r="AA288" s="31"/>
      <c r="AB288" s="31">
        <f t="shared" si="44"/>
        <v>0</v>
      </c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2"/>
      <c r="CP288" s="22"/>
      <c r="CQ288" s="22"/>
      <c r="CR288" s="22"/>
      <c r="CS288" s="22"/>
      <c r="CT288" s="22"/>
      <c r="CU288" s="22"/>
      <c r="CV288" s="22"/>
      <c r="CW288" s="22"/>
      <c r="CX288" s="22"/>
      <c r="CY288" s="22"/>
      <c r="CZ288" s="22"/>
      <c r="DA288" s="22"/>
      <c r="DB288" s="22"/>
      <c r="DC288" s="22"/>
      <c r="DD288" s="22"/>
      <c r="DE288" s="22"/>
      <c r="DF288" s="22"/>
      <c r="DG288" s="22"/>
      <c r="DH288" s="22"/>
      <c r="DI288" s="22"/>
      <c r="DJ288" s="22"/>
      <c r="DK288" s="22"/>
      <c r="DL288" s="22"/>
      <c r="DM288" s="22"/>
      <c r="DN288" s="22"/>
      <c r="DO288" s="22"/>
      <c r="DP288" s="22"/>
      <c r="DQ288" s="22"/>
      <c r="DR288" s="22"/>
      <c r="DS288" s="22"/>
      <c r="DT288" s="22"/>
      <c r="DU288" s="22"/>
      <c r="DV288" s="22"/>
      <c r="DW288" s="22"/>
      <c r="DX288" s="22"/>
      <c r="DY288" s="22"/>
      <c r="DZ288" s="22"/>
      <c r="EA288" s="22"/>
      <c r="EB288" s="22"/>
      <c r="EC288" s="22"/>
      <c r="ED288" s="22"/>
      <c r="EE288" s="22"/>
      <c r="EF288" s="22"/>
      <c r="EG288" s="22"/>
      <c r="EH288" s="22"/>
      <c r="EI288" s="22"/>
      <c r="EJ288" s="22"/>
      <c r="EK288" s="22"/>
      <c r="EL288" s="22"/>
      <c r="EM288" s="22"/>
      <c r="EN288" s="22"/>
      <c r="EO288" s="22"/>
      <c r="EP288" s="22"/>
      <c r="EQ288" s="22"/>
      <c r="ER288" s="22"/>
      <c r="ES288" s="22"/>
      <c r="ET288" s="22"/>
      <c r="EU288" s="22"/>
      <c r="EV288" s="22"/>
      <c r="EW288" s="22"/>
      <c r="EX288" s="22"/>
      <c r="EY288" s="22"/>
      <c r="EZ288" s="22"/>
      <c r="FA288" s="22"/>
      <c r="FB288" s="22"/>
      <c r="FC288" s="22"/>
      <c r="FD288" s="22"/>
      <c r="FE288" s="22"/>
      <c r="FF288" s="22"/>
      <c r="FG288" s="22"/>
      <c r="FH288" s="22"/>
      <c r="FI288" s="22"/>
      <c r="FJ288" s="22"/>
      <c r="FK288" s="22"/>
      <c r="FL288" s="22"/>
      <c r="FM288" s="22"/>
      <c r="FN288" s="22"/>
      <c r="FO288" s="22"/>
      <c r="FP288" s="22"/>
      <c r="FQ288" s="22"/>
      <c r="FR288" s="22"/>
      <c r="FS288" s="22"/>
      <c r="FT288" s="22"/>
      <c r="FU288" s="22"/>
      <c r="FV288" s="22"/>
      <c r="FW288" s="22"/>
      <c r="FX288" s="22"/>
      <c r="FY288" s="22"/>
      <c r="FZ288" s="22"/>
      <c r="GA288" s="22"/>
      <c r="GB288" s="22"/>
      <c r="GC288" s="22"/>
      <c r="GD288" s="22"/>
      <c r="GE288" s="22"/>
      <c r="GF288" s="22"/>
      <c r="GG288" s="22"/>
      <c r="GH288" s="22"/>
      <c r="GI288" s="22"/>
      <c r="GJ288" s="22"/>
      <c r="GK288" s="22"/>
      <c r="GL288" s="22"/>
    </row>
    <row r="289" spans="1:194" s="22" customFormat="1" x14ac:dyDescent="0.25">
      <c r="A289" s="27" t="s">
        <v>247</v>
      </c>
      <c r="B289" s="28">
        <f t="shared" si="36"/>
        <v>11806</v>
      </c>
      <c r="C289" s="28">
        <f t="shared" si="36"/>
        <v>11806</v>
      </c>
      <c r="D289" s="28">
        <f t="shared" si="36"/>
        <v>0</v>
      </c>
      <c r="E289" s="28"/>
      <c r="F289" s="28"/>
      <c r="G289" s="28">
        <f t="shared" si="37"/>
        <v>0</v>
      </c>
      <c r="H289" s="28"/>
      <c r="I289" s="28"/>
      <c r="J289" s="28">
        <f t="shared" si="38"/>
        <v>0</v>
      </c>
      <c r="K289" s="28"/>
      <c r="L289" s="28"/>
      <c r="M289" s="28">
        <f t="shared" si="39"/>
        <v>0</v>
      </c>
      <c r="N289" s="28">
        <v>11806</v>
      </c>
      <c r="O289" s="28">
        <v>11806</v>
      </c>
      <c r="P289" s="28">
        <f t="shared" si="40"/>
        <v>0</v>
      </c>
      <c r="Q289" s="28"/>
      <c r="R289" s="28"/>
      <c r="S289" s="28">
        <f t="shared" si="41"/>
        <v>0</v>
      </c>
      <c r="T289" s="28"/>
      <c r="U289" s="28"/>
      <c r="V289" s="28">
        <f t="shared" si="42"/>
        <v>0</v>
      </c>
      <c r="W289" s="28"/>
      <c r="X289" s="28"/>
      <c r="Y289" s="28">
        <f t="shared" si="43"/>
        <v>0</v>
      </c>
      <c r="Z289" s="28"/>
      <c r="AA289" s="28"/>
      <c r="AB289" s="28">
        <f t="shared" si="44"/>
        <v>0</v>
      </c>
    </row>
    <row r="290" spans="1:194" s="22" customFormat="1" x14ac:dyDescent="0.25">
      <c r="A290" s="19" t="s">
        <v>182</v>
      </c>
      <c r="B290" s="20">
        <f t="shared" si="36"/>
        <v>166831</v>
      </c>
      <c r="C290" s="20">
        <f t="shared" si="36"/>
        <v>166831</v>
      </c>
      <c r="D290" s="20">
        <f t="shared" si="36"/>
        <v>0</v>
      </c>
      <c r="E290" s="20">
        <f>SUM(E291:E294)</f>
        <v>0</v>
      </c>
      <c r="F290" s="20">
        <f>SUM(F291:F294)</f>
        <v>0</v>
      </c>
      <c r="G290" s="20">
        <f t="shared" si="37"/>
        <v>0</v>
      </c>
      <c r="H290" s="20">
        <f>SUM(H291:H294)</f>
        <v>0</v>
      </c>
      <c r="I290" s="20">
        <f>SUM(I291:I294)</f>
        <v>0</v>
      </c>
      <c r="J290" s="20">
        <f t="shared" si="38"/>
        <v>0</v>
      </c>
      <c r="K290" s="20">
        <f>SUM(K291:K294)</f>
        <v>29831</v>
      </c>
      <c r="L290" s="20">
        <f>SUM(L291:L294)</f>
        <v>29831</v>
      </c>
      <c r="M290" s="20">
        <f t="shared" si="39"/>
        <v>0</v>
      </c>
      <c r="N290" s="20">
        <f>SUM(N291:N294)</f>
        <v>60000</v>
      </c>
      <c r="O290" s="20">
        <f>SUM(O291:O294)</f>
        <v>60000</v>
      </c>
      <c r="P290" s="20">
        <f t="shared" si="40"/>
        <v>0</v>
      </c>
      <c r="Q290" s="20">
        <f>SUM(Q291:Q294)</f>
        <v>77000</v>
      </c>
      <c r="R290" s="20">
        <f>SUM(R291:R294)</f>
        <v>77000</v>
      </c>
      <c r="S290" s="20">
        <f t="shared" si="41"/>
        <v>0</v>
      </c>
      <c r="T290" s="20">
        <f>SUM(T291:T294)</f>
        <v>0</v>
      </c>
      <c r="U290" s="20">
        <f>SUM(U291:U294)</f>
        <v>0</v>
      </c>
      <c r="V290" s="20">
        <f t="shared" si="42"/>
        <v>0</v>
      </c>
      <c r="W290" s="20">
        <f>SUM(W291:W294)</f>
        <v>0</v>
      </c>
      <c r="X290" s="20">
        <f>SUM(X291:X294)</f>
        <v>0</v>
      </c>
      <c r="Y290" s="20">
        <f t="shared" si="43"/>
        <v>0</v>
      </c>
      <c r="Z290" s="20">
        <f>SUM(Z291:Z294)</f>
        <v>0</v>
      </c>
      <c r="AA290" s="20">
        <f>SUM(AA291:AA294)</f>
        <v>0</v>
      </c>
      <c r="AB290" s="20">
        <f t="shared" si="44"/>
        <v>0</v>
      </c>
    </row>
    <row r="291" spans="1:194" s="22" customFormat="1" x14ac:dyDescent="0.25">
      <c r="A291" s="27" t="s">
        <v>248</v>
      </c>
      <c r="B291" s="28">
        <f t="shared" si="36"/>
        <v>29831</v>
      </c>
      <c r="C291" s="28">
        <f t="shared" si="36"/>
        <v>29831</v>
      </c>
      <c r="D291" s="28">
        <f t="shared" si="36"/>
        <v>0</v>
      </c>
      <c r="E291" s="20"/>
      <c r="F291" s="20"/>
      <c r="G291" s="20">
        <f t="shared" si="37"/>
        <v>0</v>
      </c>
      <c r="H291" s="20"/>
      <c r="I291" s="20"/>
      <c r="J291" s="20">
        <f t="shared" si="38"/>
        <v>0</v>
      </c>
      <c r="K291" s="28">
        <v>29831</v>
      </c>
      <c r="L291" s="28">
        <v>29831</v>
      </c>
      <c r="M291" s="20">
        <f t="shared" si="39"/>
        <v>0</v>
      </c>
      <c r="N291" s="20"/>
      <c r="O291" s="20"/>
      <c r="P291" s="20">
        <f t="shared" si="40"/>
        <v>0</v>
      </c>
      <c r="Q291" s="20"/>
      <c r="R291" s="20"/>
      <c r="S291" s="20">
        <f t="shared" si="41"/>
        <v>0</v>
      </c>
      <c r="T291" s="20"/>
      <c r="U291" s="20"/>
      <c r="V291" s="20">
        <f t="shared" si="42"/>
        <v>0</v>
      </c>
      <c r="W291" s="20"/>
      <c r="X291" s="20"/>
      <c r="Y291" s="20">
        <f t="shared" si="43"/>
        <v>0</v>
      </c>
      <c r="Z291" s="20"/>
      <c r="AA291" s="20"/>
      <c r="AB291" s="20">
        <f t="shared" si="44"/>
        <v>0</v>
      </c>
    </row>
    <row r="292" spans="1:194" s="21" customFormat="1" ht="47.25" x14ac:dyDescent="0.25">
      <c r="A292" s="29" t="s">
        <v>249</v>
      </c>
      <c r="B292" s="31">
        <f t="shared" si="36"/>
        <v>77000</v>
      </c>
      <c r="C292" s="31">
        <f t="shared" si="36"/>
        <v>77000</v>
      </c>
      <c r="D292" s="31">
        <f t="shared" si="36"/>
        <v>0</v>
      </c>
      <c r="E292" s="31"/>
      <c r="F292" s="31"/>
      <c r="G292" s="31">
        <f t="shared" si="37"/>
        <v>0</v>
      </c>
      <c r="H292" s="31"/>
      <c r="I292" s="31"/>
      <c r="J292" s="31">
        <f t="shared" si="38"/>
        <v>0</v>
      </c>
      <c r="K292" s="31"/>
      <c r="L292" s="31"/>
      <c r="M292" s="31">
        <f t="shared" si="39"/>
        <v>0</v>
      </c>
      <c r="N292" s="31"/>
      <c r="O292" s="31"/>
      <c r="P292" s="31">
        <f t="shared" si="40"/>
        <v>0</v>
      </c>
      <c r="Q292" s="31">
        <v>77000</v>
      </c>
      <c r="R292" s="31">
        <v>77000</v>
      </c>
      <c r="S292" s="31">
        <f t="shared" si="41"/>
        <v>0</v>
      </c>
      <c r="T292" s="31"/>
      <c r="U292" s="31"/>
      <c r="V292" s="31">
        <f t="shared" si="42"/>
        <v>0</v>
      </c>
      <c r="W292" s="31"/>
      <c r="X292" s="31"/>
      <c r="Y292" s="31">
        <f t="shared" si="43"/>
        <v>0</v>
      </c>
      <c r="Z292" s="31"/>
      <c r="AA292" s="31"/>
      <c r="AB292" s="31">
        <f t="shared" si="44"/>
        <v>0</v>
      </c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  <c r="BY292" s="22"/>
      <c r="BZ292" s="22"/>
      <c r="CA292" s="22"/>
      <c r="CB292" s="22"/>
      <c r="CC292" s="22"/>
      <c r="CD292" s="22"/>
      <c r="CE292" s="22"/>
      <c r="CF292" s="22"/>
      <c r="CG292" s="22"/>
      <c r="CH292" s="22"/>
      <c r="CI292" s="22"/>
      <c r="CJ292" s="22"/>
      <c r="CK292" s="22"/>
      <c r="CL292" s="22"/>
      <c r="CM292" s="22"/>
      <c r="CN292" s="22"/>
      <c r="CO292" s="22"/>
      <c r="CP292" s="22"/>
      <c r="CQ292" s="22"/>
      <c r="CR292" s="22"/>
      <c r="CS292" s="22"/>
      <c r="CT292" s="22"/>
      <c r="CU292" s="22"/>
      <c r="CV292" s="22"/>
      <c r="CW292" s="22"/>
      <c r="CX292" s="22"/>
      <c r="CY292" s="22"/>
      <c r="CZ292" s="22"/>
      <c r="DA292" s="22"/>
      <c r="DB292" s="22"/>
      <c r="DC292" s="22"/>
      <c r="DD292" s="22"/>
      <c r="DE292" s="22"/>
      <c r="DF292" s="22"/>
      <c r="DG292" s="22"/>
      <c r="DH292" s="22"/>
      <c r="DI292" s="22"/>
      <c r="DJ292" s="22"/>
      <c r="DK292" s="22"/>
      <c r="DL292" s="22"/>
      <c r="DM292" s="22"/>
      <c r="DN292" s="22"/>
      <c r="DO292" s="22"/>
      <c r="DP292" s="22"/>
      <c r="DQ292" s="22"/>
      <c r="DR292" s="22"/>
      <c r="DS292" s="22"/>
      <c r="DT292" s="22"/>
      <c r="DU292" s="22"/>
      <c r="DV292" s="22"/>
      <c r="DW292" s="22"/>
      <c r="DX292" s="22"/>
      <c r="DY292" s="22"/>
      <c r="DZ292" s="22"/>
      <c r="EA292" s="22"/>
      <c r="EB292" s="22"/>
      <c r="EC292" s="22"/>
      <c r="ED292" s="22"/>
      <c r="EE292" s="22"/>
      <c r="EF292" s="22"/>
      <c r="EG292" s="22"/>
      <c r="EH292" s="22"/>
      <c r="EI292" s="22"/>
      <c r="EJ292" s="22"/>
      <c r="EK292" s="22"/>
      <c r="EL292" s="22"/>
      <c r="EM292" s="22"/>
      <c r="EN292" s="22"/>
      <c r="EO292" s="22"/>
      <c r="EP292" s="22"/>
      <c r="EQ292" s="22"/>
      <c r="ER292" s="22"/>
      <c r="ES292" s="22"/>
      <c r="ET292" s="22"/>
      <c r="EU292" s="22"/>
      <c r="EV292" s="22"/>
      <c r="EW292" s="22"/>
      <c r="EX292" s="22"/>
      <c r="EY292" s="22"/>
      <c r="EZ292" s="22"/>
      <c r="FA292" s="22"/>
      <c r="FB292" s="22"/>
      <c r="FC292" s="22"/>
      <c r="FD292" s="22"/>
      <c r="FE292" s="22"/>
      <c r="FF292" s="22"/>
      <c r="FG292" s="22"/>
      <c r="FH292" s="22"/>
      <c r="FI292" s="22"/>
      <c r="FJ292" s="22"/>
      <c r="FK292" s="22"/>
      <c r="FL292" s="22"/>
      <c r="FM292" s="22"/>
      <c r="FN292" s="22"/>
      <c r="FO292" s="22"/>
      <c r="FP292" s="22"/>
      <c r="FQ292" s="22"/>
      <c r="FR292" s="22"/>
      <c r="FS292" s="22"/>
      <c r="FT292" s="22"/>
      <c r="FU292" s="22"/>
      <c r="FV292" s="22"/>
      <c r="FW292" s="22"/>
      <c r="FX292" s="22"/>
      <c r="FY292" s="22"/>
      <c r="FZ292" s="22"/>
      <c r="GA292" s="22"/>
      <c r="GB292" s="22"/>
      <c r="GC292" s="22"/>
      <c r="GD292" s="22"/>
      <c r="GE292" s="22"/>
      <c r="GF292" s="22"/>
      <c r="GG292" s="22"/>
      <c r="GH292" s="22"/>
      <c r="GI292" s="22"/>
      <c r="GJ292" s="22"/>
      <c r="GK292" s="22"/>
      <c r="GL292" s="22"/>
    </row>
    <row r="293" spans="1:194" s="22" customFormat="1" x14ac:dyDescent="0.25">
      <c r="A293" s="27" t="s">
        <v>250</v>
      </c>
      <c r="B293" s="28">
        <f t="shared" si="36"/>
        <v>28000</v>
      </c>
      <c r="C293" s="28">
        <f t="shared" si="36"/>
        <v>28000</v>
      </c>
      <c r="D293" s="28">
        <f t="shared" si="36"/>
        <v>0</v>
      </c>
      <c r="E293" s="28"/>
      <c r="F293" s="28"/>
      <c r="G293" s="28">
        <f t="shared" si="37"/>
        <v>0</v>
      </c>
      <c r="H293" s="28"/>
      <c r="I293" s="28"/>
      <c r="J293" s="28">
        <f t="shared" si="38"/>
        <v>0</v>
      </c>
      <c r="K293" s="28"/>
      <c r="L293" s="28"/>
      <c r="M293" s="28">
        <f t="shared" si="39"/>
        <v>0</v>
      </c>
      <c r="N293" s="28">
        <v>28000</v>
      </c>
      <c r="O293" s="28">
        <v>28000</v>
      </c>
      <c r="P293" s="28">
        <f t="shared" si="40"/>
        <v>0</v>
      </c>
      <c r="Q293" s="28"/>
      <c r="R293" s="28"/>
      <c r="S293" s="28">
        <f t="shared" si="41"/>
        <v>0</v>
      </c>
      <c r="T293" s="28"/>
      <c r="U293" s="28"/>
      <c r="V293" s="28">
        <f t="shared" si="42"/>
        <v>0</v>
      </c>
      <c r="W293" s="28"/>
      <c r="X293" s="28"/>
      <c r="Y293" s="28">
        <f t="shared" si="43"/>
        <v>0</v>
      </c>
      <c r="Z293" s="28"/>
      <c r="AA293" s="28"/>
      <c r="AB293" s="28">
        <f t="shared" si="44"/>
        <v>0</v>
      </c>
    </row>
    <row r="294" spans="1:194" s="22" customFormat="1" x14ac:dyDescent="0.25">
      <c r="A294" s="27" t="s">
        <v>251</v>
      </c>
      <c r="B294" s="28">
        <f t="shared" si="36"/>
        <v>32000</v>
      </c>
      <c r="C294" s="28">
        <f t="shared" si="36"/>
        <v>32000</v>
      </c>
      <c r="D294" s="28">
        <f t="shared" si="36"/>
        <v>0</v>
      </c>
      <c r="E294" s="28"/>
      <c r="F294" s="28"/>
      <c r="G294" s="28">
        <f t="shared" si="37"/>
        <v>0</v>
      </c>
      <c r="H294" s="28"/>
      <c r="I294" s="28"/>
      <c r="J294" s="28">
        <f t="shared" si="38"/>
        <v>0</v>
      </c>
      <c r="K294" s="28"/>
      <c r="L294" s="28"/>
      <c r="M294" s="28">
        <f t="shared" si="39"/>
        <v>0</v>
      </c>
      <c r="N294" s="28">
        <v>32000</v>
      </c>
      <c r="O294" s="28">
        <v>32000</v>
      </c>
      <c r="P294" s="28">
        <f t="shared" si="40"/>
        <v>0</v>
      </c>
      <c r="Q294" s="28"/>
      <c r="R294" s="28"/>
      <c r="S294" s="28">
        <f t="shared" si="41"/>
        <v>0</v>
      </c>
      <c r="T294" s="28"/>
      <c r="U294" s="28"/>
      <c r="V294" s="28">
        <f t="shared" si="42"/>
        <v>0</v>
      </c>
      <c r="W294" s="28"/>
      <c r="X294" s="28"/>
      <c r="Y294" s="28">
        <f t="shared" si="43"/>
        <v>0</v>
      </c>
      <c r="Z294" s="28"/>
      <c r="AA294" s="28"/>
      <c r="AB294" s="28">
        <f t="shared" si="44"/>
        <v>0</v>
      </c>
    </row>
    <row r="295" spans="1:194" s="22" customFormat="1" x14ac:dyDescent="0.25">
      <c r="A295" s="19" t="s">
        <v>216</v>
      </c>
      <c r="B295" s="20">
        <f t="shared" si="36"/>
        <v>90324</v>
      </c>
      <c r="C295" s="20">
        <f t="shared" si="36"/>
        <v>90324</v>
      </c>
      <c r="D295" s="20">
        <f t="shared" si="36"/>
        <v>0</v>
      </c>
      <c r="E295" s="20">
        <f>SUM(E296:E300)</f>
        <v>0</v>
      </c>
      <c r="F295" s="20">
        <f>SUM(F296:F300)</f>
        <v>0</v>
      </c>
      <c r="G295" s="20">
        <f t="shared" si="37"/>
        <v>0</v>
      </c>
      <c r="H295" s="20">
        <f>SUM(H296:H300)</f>
        <v>0</v>
      </c>
      <c r="I295" s="20">
        <f>SUM(I296:I300)</f>
        <v>0</v>
      </c>
      <c r="J295" s="20">
        <f t="shared" si="38"/>
        <v>0</v>
      </c>
      <c r="K295" s="20">
        <f>SUM(K296:K300)</f>
        <v>45800</v>
      </c>
      <c r="L295" s="20">
        <f>SUM(L296:L300)</f>
        <v>45800</v>
      </c>
      <c r="M295" s="20">
        <f t="shared" si="39"/>
        <v>0</v>
      </c>
      <c r="N295" s="20">
        <f>SUM(N296:N300)</f>
        <v>27793</v>
      </c>
      <c r="O295" s="20">
        <f>SUM(O296:O300)</f>
        <v>27793</v>
      </c>
      <c r="P295" s="20">
        <f t="shared" si="40"/>
        <v>0</v>
      </c>
      <c r="Q295" s="20">
        <f>SUM(Q296:Q300)</f>
        <v>16731</v>
      </c>
      <c r="R295" s="20">
        <f>SUM(R296:R300)</f>
        <v>16731</v>
      </c>
      <c r="S295" s="20">
        <f t="shared" si="41"/>
        <v>0</v>
      </c>
      <c r="T295" s="20">
        <f>SUM(T296:T300)</f>
        <v>0</v>
      </c>
      <c r="U295" s="20">
        <f>SUM(U296:U300)</f>
        <v>0</v>
      </c>
      <c r="V295" s="20">
        <f t="shared" si="42"/>
        <v>0</v>
      </c>
      <c r="W295" s="20">
        <f>SUM(W296:W300)</f>
        <v>0</v>
      </c>
      <c r="X295" s="20">
        <f>SUM(X296:X300)</f>
        <v>0</v>
      </c>
      <c r="Y295" s="20">
        <f t="shared" si="43"/>
        <v>0</v>
      </c>
      <c r="Z295" s="20">
        <f>SUM(Z296:Z300)</f>
        <v>0</v>
      </c>
      <c r="AA295" s="20">
        <f>SUM(AA296:AA300)</f>
        <v>0</v>
      </c>
      <c r="AB295" s="20">
        <f t="shared" si="44"/>
        <v>0</v>
      </c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1"/>
      <c r="BY295" s="21"/>
      <c r="BZ295" s="21"/>
      <c r="CA295" s="21"/>
      <c r="CB295" s="21"/>
      <c r="CC295" s="21"/>
      <c r="CD295" s="21"/>
      <c r="CE295" s="21"/>
      <c r="CF295" s="21"/>
      <c r="CG295" s="21"/>
      <c r="CH295" s="21"/>
      <c r="CI295" s="21"/>
      <c r="CJ295" s="21"/>
      <c r="CK295" s="21"/>
      <c r="CL295" s="21"/>
      <c r="CM295" s="21"/>
      <c r="CN295" s="21"/>
      <c r="CO295" s="21"/>
      <c r="CP295" s="21"/>
      <c r="CQ295" s="21"/>
      <c r="CR295" s="21"/>
      <c r="CS295" s="21"/>
      <c r="CT295" s="21"/>
      <c r="CU295" s="21"/>
      <c r="CV295" s="21"/>
      <c r="CW295" s="21"/>
      <c r="CX295" s="21"/>
      <c r="CY295" s="21"/>
      <c r="CZ295" s="21"/>
      <c r="DA295" s="21"/>
      <c r="DB295" s="21"/>
      <c r="DC295" s="21"/>
      <c r="DD295" s="21"/>
      <c r="DE295" s="21"/>
      <c r="DF295" s="21"/>
      <c r="DG295" s="21"/>
      <c r="DH295" s="21"/>
      <c r="DI295" s="21"/>
      <c r="DJ295" s="21"/>
      <c r="DK295" s="21"/>
      <c r="DL295" s="21"/>
      <c r="DM295" s="21"/>
      <c r="DN295" s="21"/>
      <c r="DO295" s="21"/>
      <c r="DP295" s="21"/>
      <c r="DQ295" s="21"/>
      <c r="DR295" s="21"/>
      <c r="DS295" s="21"/>
      <c r="DT295" s="21"/>
      <c r="DU295" s="21"/>
      <c r="DV295" s="21"/>
      <c r="DW295" s="21"/>
      <c r="DX295" s="21"/>
      <c r="DY295" s="21"/>
      <c r="DZ295" s="21"/>
      <c r="EA295" s="21"/>
      <c r="EB295" s="21"/>
      <c r="EC295" s="21"/>
      <c r="ED295" s="21"/>
      <c r="EE295" s="21"/>
      <c r="EF295" s="21"/>
      <c r="EG295" s="21"/>
      <c r="EH295" s="21"/>
      <c r="EI295" s="21"/>
      <c r="EJ295" s="21"/>
      <c r="EK295" s="21"/>
      <c r="EL295" s="21"/>
      <c r="EM295" s="21"/>
      <c r="EN295" s="21"/>
      <c r="EO295" s="21"/>
      <c r="EP295" s="21"/>
      <c r="EQ295" s="21"/>
      <c r="ER295" s="21"/>
      <c r="ES295" s="21"/>
      <c r="ET295" s="21"/>
      <c r="EU295" s="21"/>
      <c r="EV295" s="21"/>
      <c r="EW295" s="21"/>
      <c r="EX295" s="21"/>
      <c r="EY295" s="21"/>
      <c r="EZ295" s="21"/>
      <c r="FA295" s="21"/>
      <c r="FB295" s="21"/>
      <c r="FC295" s="21"/>
      <c r="FD295" s="21"/>
      <c r="FE295" s="21"/>
      <c r="FF295" s="21"/>
      <c r="FG295" s="21"/>
      <c r="FH295" s="21"/>
      <c r="FI295" s="21"/>
      <c r="FJ295" s="21"/>
      <c r="FK295" s="21"/>
      <c r="FL295" s="21"/>
      <c r="FM295" s="21"/>
      <c r="FN295" s="21"/>
      <c r="FO295" s="21"/>
      <c r="FP295" s="21"/>
      <c r="FQ295" s="21"/>
      <c r="FR295" s="21"/>
      <c r="FS295" s="21"/>
      <c r="FT295" s="21"/>
      <c r="FU295" s="21"/>
      <c r="FV295" s="21"/>
      <c r="FW295" s="21"/>
      <c r="FX295" s="21"/>
      <c r="FY295" s="21"/>
      <c r="FZ295" s="21"/>
      <c r="GA295" s="21"/>
      <c r="GB295" s="21"/>
      <c r="GC295" s="21"/>
      <c r="GD295" s="21"/>
      <c r="GE295" s="21"/>
      <c r="GF295" s="21"/>
      <c r="GG295" s="21"/>
      <c r="GH295" s="21"/>
      <c r="GI295" s="21"/>
      <c r="GJ295" s="21"/>
      <c r="GK295" s="21"/>
      <c r="GL295" s="21"/>
    </row>
    <row r="296" spans="1:194" s="21" customFormat="1" x14ac:dyDescent="0.25">
      <c r="A296" s="32" t="s">
        <v>252</v>
      </c>
      <c r="B296" s="28">
        <f t="shared" si="36"/>
        <v>45800</v>
      </c>
      <c r="C296" s="28">
        <f t="shared" si="36"/>
        <v>45800</v>
      </c>
      <c r="D296" s="28">
        <f t="shared" si="36"/>
        <v>0</v>
      </c>
      <c r="E296" s="28"/>
      <c r="F296" s="28"/>
      <c r="G296" s="28">
        <f t="shared" si="37"/>
        <v>0</v>
      </c>
      <c r="H296" s="28"/>
      <c r="I296" s="28"/>
      <c r="J296" s="28">
        <f t="shared" si="38"/>
        <v>0</v>
      </c>
      <c r="K296" s="28">
        <v>45800</v>
      </c>
      <c r="L296" s="28">
        <v>45800</v>
      </c>
      <c r="M296" s="28">
        <f t="shared" si="39"/>
        <v>0</v>
      </c>
      <c r="N296" s="28"/>
      <c r="O296" s="28"/>
      <c r="P296" s="28">
        <f t="shared" si="40"/>
        <v>0</v>
      </c>
      <c r="Q296" s="28"/>
      <c r="R296" s="28"/>
      <c r="S296" s="28">
        <f t="shared" si="41"/>
        <v>0</v>
      </c>
      <c r="T296" s="28"/>
      <c r="U296" s="28"/>
      <c r="V296" s="28">
        <f t="shared" si="42"/>
        <v>0</v>
      </c>
      <c r="W296" s="28"/>
      <c r="X296" s="28"/>
      <c r="Y296" s="28">
        <f t="shared" si="43"/>
        <v>0</v>
      </c>
      <c r="Z296" s="28"/>
      <c r="AA296" s="28"/>
      <c r="AB296" s="28">
        <f t="shared" si="44"/>
        <v>0</v>
      </c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2"/>
      <c r="CP296" s="22"/>
      <c r="CQ296" s="22"/>
      <c r="CR296" s="22"/>
      <c r="CS296" s="22"/>
      <c r="CT296" s="22"/>
      <c r="CU296" s="22"/>
      <c r="CV296" s="22"/>
      <c r="CW296" s="22"/>
      <c r="CX296" s="22"/>
      <c r="CY296" s="22"/>
      <c r="CZ296" s="22"/>
      <c r="DA296" s="22"/>
      <c r="DB296" s="22"/>
      <c r="DC296" s="22"/>
      <c r="DD296" s="22"/>
      <c r="DE296" s="22"/>
      <c r="DF296" s="22"/>
      <c r="DG296" s="22"/>
      <c r="DH296" s="22"/>
      <c r="DI296" s="22"/>
      <c r="DJ296" s="22"/>
      <c r="DK296" s="22"/>
      <c r="DL296" s="22"/>
      <c r="DM296" s="22"/>
      <c r="DN296" s="22"/>
      <c r="DO296" s="22"/>
      <c r="DP296" s="22"/>
      <c r="DQ296" s="22"/>
      <c r="DR296" s="22"/>
      <c r="DS296" s="22"/>
      <c r="DT296" s="22"/>
      <c r="DU296" s="22"/>
      <c r="DV296" s="22"/>
      <c r="DW296" s="22"/>
      <c r="DX296" s="22"/>
      <c r="DY296" s="22"/>
      <c r="DZ296" s="22"/>
      <c r="EA296" s="22"/>
      <c r="EB296" s="22"/>
      <c r="EC296" s="22"/>
      <c r="ED296" s="22"/>
      <c r="EE296" s="22"/>
      <c r="EF296" s="22"/>
      <c r="EG296" s="22"/>
      <c r="EH296" s="22"/>
      <c r="EI296" s="22"/>
      <c r="EJ296" s="22"/>
      <c r="EK296" s="22"/>
      <c r="EL296" s="22"/>
      <c r="EM296" s="22"/>
      <c r="EN296" s="22"/>
      <c r="EO296" s="22"/>
      <c r="EP296" s="22"/>
      <c r="EQ296" s="22"/>
      <c r="ER296" s="22"/>
      <c r="ES296" s="22"/>
      <c r="ET296" s="22"/>
      <c r="EU296" s="22"/>
      <c r="EV296" s="22"/>
      <c r="EW296" s="22"/>
      <c r="EX296" s="22"/>
      <c r="EY296" s="22"/>
      <c r="EZ296" s="22"/>
      <c r="FA296" s="22"/>
      <c r="FB296" s="22"/>
      <c r="FC296" s="22"/>
      <c r="FD296" s="22"/>
      <c r="FE296" s="22"/>
      <c r="FF296" s="22"/>
      <c r="FG296" s="22"/>
      <c r="FH296" s="22"/>
      <c r="FI296" s="22"/>
      <c r="FJ296" s="22"/>
      <c r="FK296" s="22"/>
      <c r="FL296" s="22"/>
      <c r="FM296" s="22"/>
      <c r="FN296" s="22"/>
      <c r="FO296" s="22"/>
      <c r="FP296" s="22"/>
      <c r="FQ296" s="22"/>
      <c r="FR296" s="22"/>
      <c r="FS296" s="22"/>
      <c r="FT296" s="22"/>
      <c r="FU296" s="22"/>
      <c r="FV296" s="22"/>
      <c r="FW296" s="22"/>
      <c r="FX296" s="22"/>
      <c r="FY296" s="22"/>
      <c r="FZ296" s="22"/>
      <c r="GA296" s="22"/>
      <c r="GB296" s="22"/>
      <c r="GC296" s="22"/>
      <c r="GD296" s="22"/>
      <c r="GE296" s="22"/>
      <c r="GF296" s="22"/>
      <c r="GG296" s="22"/>
      <c r="GH296" s="22"/>
      <c r="GI296" s="22"/>
      <c r="GJ296" s="22"/>
      <c r="GK296" s="22"/>
      <c r="GL296" s="22"/>
    </row>
    <row r="297" spans="1:194" s="22" customFormat="1" x14ac:dyDescent="0.25">
      <c r="A297" s="27" t="s">
        <v>253</v>
      </c>
      <c r="B297" s="28">
        <f t="shared" si="36"/>
        <v>24969</v>
      </c>
      <c r="C297" s="28">
        <f t="shared" si="36"/>
        <v>24969</v>
      </c>
      <c r="D297" s="28">
        <f t="shared" si="36"/>
        <v>0</v>
      </c>
      <c r="E297" s="28"/>
      <c r="F297" s="28"/>
      <c r="G297" s="28">
        <f t="shared" si="37"/>
        <v>0</v>
      </c>
      <c r="H297" s="28"/>
      <c r="I297" s="28"/>
      <c r="J297" s="28">
        <f t="shared" si="38"/>
        <v>0</v>
      </c>
      <c r="K297" s="28"/>
      <c r="L297" s="28"/>
      <c r="M297" s="28">
        <f t="shared" si="39"/>
        <v>0</v>
      </c>
      <c r="N297" s="28">
        <v>24969</v>
      </c>
      <c r="O297" s="28">
        <v>24969</v>
      </c>
      <c r="P297" s="28">
        <f t="shared" si="40"/>
        <v>0</v>
      </c>
      <c r="Q297" s="28"/>
      <c r="R297" s="28"/>
      <c r="S297" s="28">
        <f t="shared" si="41"/>
        <v>0</v>
      </c>
      <c r="T297" s="28"/>
      <c r="U297" s="28"/>
      <c r="V297" s="28">
        <f t="shared" si="42"/>
        <v>0</v>
      </c>
      <c r="W297" s="28"/>
      <c r="X297" s="28"/>
      <c r="Y297" s="28">
        <f t="shared" si="43"/>
        <v>0</v>
      </c>
      <c r="Z297" s="28"/>
      <c r="AA297" s="28"/>
      <c r="AB297" s="28">
        <f t="shared" si="44"/>
        <v>0</v>
      </c>
    </row>
    <row r="298" spans="1:194" s="21" customFormat="1" x14ac:dyDescent="0.25">
      <c r="A298" s="32" t="s">
        <v>254</v>
      </c>
      <c r="B298" s="28">
        <f t="shared" si="36"/>
        <v>2824</v>
      </c>
      <c r="C298" s="28">
        <f t="shared" si="36"/>
        <v>2824</v>
      </c>
      <c r="D298" s="28">
        <f t="shared" si="36"/>
        <v>0</v>
      </c>
      <c r="E298" s="28"/>
      <c r="F298" s="28"/>
      <c r="G298" s="28">
        <f t="shared" si="37"/>
        <v>0</v>
      </c>
      <c r="H298" s="28"/>
      <c r="I298" s="28"/>
      <c r="J298" s="28">
        <f t="shared" si="38"/>
        <v>0</v>
      </c>
      <c r="K298" s="28"/>
      <c r="L298" s="28"/>
      <c r="M298" s="28">
        <f t="shared" si="39"/>
        <v>0</v>
      </c>
      <c r="N298" s="28">
        <v>2824</v>
      </c>
      <c r="O298" s="28">
        <v>2824</v>
      </c>
      <c r="P298" s="28">
        <f t="shared" si="40"/>
        <v>0</v>
      </c>
      <c r="Q298" s="28"/>
      <c r="R298" s="28"/>
      <c r="S298" s="28">
        <f t="shared" si="41"/>
        <v>0</v>
      </c>
      <c r="T298" s="28"/>
      <c r="U298" s="28"/>
      <c r="V298" s="28">
        <f t="shared" si="42"/>
        <v>0</v>
      </c>
      <c r="W298" s="28"/>
      <c r="X298" s="28"/>
      <c r="Y298" s="28">
        <f t="shared" si="43"/>
        <v>0</v>
      </c>
      <c r="Z298" s="28"/>
      <c r="AA298" s="28"/>
      <c r="AB298" s="28">
        <f t="shared" si="44"/>
        <v>0</v>
      </c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2"/>
      <c r="CP298" s="22"/>
      <c r="CQ298" s="22"/>
      <c r="CR298" s="22"/>
      <c r="CS298" s="22"/>
      <c r="CT298" s="22"/>
      <c r="CU298" s="22"/>
      <c r="CV298" s="22"/>
      <c r="CW298" s="22"/>
      <c r="CX298" s="22"/>
      <c r="CY298" s="22"/>
      <c r="CZ298" s="22"/>
      <c r="DA298" s="22"/>
      <c r="DB298" s="22"/>
      <c r="DC298" s="22"/>
      <c r="DD298" s="22"/>
      <c r="DE298" s="22"/>
      <c r="DF298" s="22"/>
      <c r="DG298" s="22"/>
      <c r="DH298" s="22"/>
      <c r="DI298" s="22"/>
      <c r="DJ298" s="22"/>
      <c r="DK298" s="22"/>
      <c r="DL298" s="22"/>
      <c r="DM298" s="22"/>
      <c r="DN298" s="22"/>
      <c r="DO298" s="22"/>
      <c r="DP298" s="22"/>
      <c r="DQ298" s="22"/>
      <c r="DR298" s="22"/>
      <c r="DS298" s="22"/>
      <c r="DT298" s="22"/>
      <c r="DU298" s="22"/>
      <c r="DV298" s="22"/>
      <c r="DW298" s="22"/>
      <c r="DX298" s="22"/>
      <c r="DY298" s="22"/>
      <c r="DZ298" s="22"/>
      <c r="EA298" s="22"/>
      <c r="EB298" s="22"/>
      <c r="EC298" s="22"/>
      <c r="ED298" s="22"/>
      <c r="EE298" s="22"/>
      <c r="EF298" s="22"/>
      <c r="EG298" s="22"/>
      <c r="EH298" s="22"/>
      <c r="EI298" s="22"/>
      <c r="EJ298" s="22"/>
      <c r="EK298" s="22"/>
      <c r="EL298" s="22"/>
      <c r="EM298" s="22"/>
      <c r="EN298" s="22"/>
      <c r="EO298" s="22"/>
      <c r="EP298" s="22"/>
      <c r="EQ298" s="22"/>
      <c r="ER298" s="22"/>
      <c r="ES298" s="22"/>
      <c r="ET298" s="22"/>
      <c r="EU298" s="22"/>
      <c r="EV298" s="22"/>
      <c r="EW298" s="22"/>
      <c r="EX298" s="22"/>
      <c r="EY298" s="22"/>
      <c r="EZ298" s="22"/>
      <c r="FA298" s="22"/>
      <c r="FB298" s="22"/>
      <c r="FC298" s="22"/>
      <c r="FD298" s="22"/>
      <c r="FE298" s="22"/>
      <c r="FF298" s="22"/>
      <c r="FG298" s="22"/>
      <c r="FH298" s="22"/>
      <c r="FI298" s="22"/>
      <c r="FJ298" s="22"/>
      <c r="FK298" s="22"/>
      <c r="FL298" s="22"/>
      <c r="FM298" s="22"/>
      <c r="FN298" s="22"/>
      <c r="FO298" s="22"/>
      <c r="FP298" s="22"/>
      <c r="FQ298" s="22"/>
      <c r="FR298" s="22"/>
      <c r="FS298" s="22"/>
      <c r="FT298" s="22"/>
      <c r="FU298" s="22"/>
      <c r="FV298" s="22"/>
      <c r="FW298" s="22"/>
      <c r="FX298" s="22"/>
      <c r="FY298" s="22"/>
      <c r="FZ298" s="22"/>
      <c r="GA298" s="22"/>
      <c r="GB298" s="22"/>
      <c r="GC298" s="22"/>
      <c r="GD298" s="22"/>
      <c r="GE298" s="22"/>
      <c r="GF298" s="22"/>
      <c r="GG298" s="22"/>
      <c r="GH298" s="22"/>
      <c r="GI298" s="22"/>
      <c r="GJ298" s="22"/>
      <c r="GK298" s="22"/>
      <c r="GL298" s="22"/>
    </row>
    <row r="299" spans="1:194" s="22" customFormat="1" ht="47.25" x14ac:dyDescent="0.25">
      <c r="A299" s="32" t="s">
        <v>255</v>
      </c>
      <c r="B299" s="28">
        <f t="shared" si="36"/>
        <v>12338</v>
      </c>
      <c r="C299" s="28">
        <f t="shared" ref="C299:D299" si="45">F299+I299+L299+O299+R299+U299+X299+AA299</f>
        <v>12338</v>
      </c>
      <c r="D299" s="28">
        <f t="shared" si="45"/>
        <v>0</v>
      </c>
      <c r="E299" s="28"/>
      <c r="F299" s="28"/>
      <c r="G299" s="28">
        <f t="shared" si="37"/>
        <v>0</v>
      </c>
      <c r="H299" s="28"/>
      <c r="I299" s="28"/>
      <c r="J299" s="28">
        <f t="shared" si="38"/>
        <v>0</v>
      </c>
      <c r="K299" s="28"/>
      <c r="L299" s="28"/>
      <c r="M299" s="28">
        <f t="shared" si="39"/>
        <v>0</v>
      </c>
      <c r="N299" s="28"/>
      <c r="O299" s="28"/>
      <c r="P299" s="28">
        <f t="shared" si="40"/>
        <v>0</v>
      </c>
      <c r="Q299" s="28">
        <v>12338</v>
      </c>
      <c r="R299" s="28">
        <v>12338</v>
      </c>
      <c r="S299" s="28">
        <f t="shared" si="41"/>
        <v>0</v>
      </c>
      <c r="T299" s="28"/>
      <c r="U299" s="28"/>
      <c r="V299" s="28">
        <f t="shared" si="42"/>
        <v>0</v>
      </c>
      <c r="W299" s="28"/>
      <c r="X299" s="28"/>
      <c r="Y299" s="28">
        <f t="shared" si="43"/>
        <v>0</v>
      </c>
      <c r="Z299" s="28"/>
      <c r="AA299" s="28"/>
      <c r="AB299" s="28">
        <f t="shared" si="44"/>
        <v>0</v>
      </c>
    </row>
    <row r="300" spans="1:194" s="21" customFormat="1" ht="47.25" x14ac:dyDescent="0.25">
      <c r="A300" s="29" t="s">
        <v>241</v>
      </c>
      <c r="B300" s="31">
        <f t="shared" ref="B300:D364" si="46">E300+H300+K300+N300+Q300+T300+W300+Z300</f>
        <v>4393</v>
      </c>
      <c r="C300" s="31">
        <f t="shared" si="46"/>
        <v>4393</v>
      </c>
      <c r="D300" s="31">
        <f t="shared" si="46"/>
        <v>0</v>
      </c>
      <c r="E300" s="31"/>
      <c r="F300" s="31"/>
      <c r="G300" s="31">
        <f t="shared" ref="G300:G364" si="47">F300-E300</f>
        <v>0</v>
      </c>
      <c r="H300" s="31"/>
      <c r="I300" s="31"/>
      <c r="J300" s="31">
        <f t="shared" ref="J300:J364" si="48">I300-H300</f>
        <v>0</v>
      </c>
      <c r="K300" s="31"/>
      <c r="L300" s="31"/>
      <c r="M300" s="31">
        <f t="shared" ref="M300:M364" si="49">L300-K300</f>
        <v>0</v>
      </c>
      <c r="N300" s="31"/>
      <c r="O300" s="31"/>
      <c r="P300" s="31">
        <f t="shared" ref="P300:P364" si="50">O300-N300</f>
        <v>0</v>
      </c>
      <c r="Q300" s="31">
        <v>4393</v>
      </c>
      <c r="R300" s="31">
        <v>4393</v>
      </c>
      <c r="S300" s="31">
        <f t="shared" ref="S300:S364" si="51">R300-Q300</f>
        <v>0</v>
      </c>
      <c r="T300" s="31"/>
      <c r="U300" s="31"/>
      <c r="V300" s="31">
        <f t="shared" ref="V300:V364" si="52">U300-T300</f>
        <v>0</v>
      </c>
      <c r="W300" s="31"/>
      <c r="X300" s="31"/>
      <c r="Y300" s="31">
        <f t="shared" ref="Y300:Y364" si="53">X300-W300</f>
        <v>0</v>
      </c>
      <c r="Z300" s="31"/>
      <c r="AA300" s="31"/>
      <c r="AB300" s="31">
        <f t="shared" ref="AB300:AB364" si="54">AA300-Z300</f>
        <v>0</v>
      </c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22"/>
      <c r="CR300" s="22"/>
      <c r="CS300" s="22"/>
      <c r="CT300" s="22"/>
      <c r="CU300" s="22"/>
      <c r="CV300" s="22"/>
      <c r="CW300" s="22"/>
      <c r="CX300" s="22"/>
      <c r="CY300" s="22"/>
      <c r="CZ300" s="22"/>
      <c r="DA300" s="22"/>
      <c r="DB300" s="22"/>
      <c r="DC300" s="22"/>
      <c r="DD300" s="22"/>
      <c r="DE300" s="22"/>
      <c r="DF300" s="22"/>
      <c r="DG300" s="22"/>
      <c r="DH300" s="22"/>
      <c r="DI300" s="22"/>
      <c r="DJ300" s="22"/>
      <c r="DK300" s="22"/>
      <c r="DL300" s="22"/>
      <c r="DM300" s="22"/>
      <c r="DN300" s="22"/>
      <c r="DO300" s="22"/>
      <c r="DP300" s="22"/>
      <c r="DQ300" s="22"/>
      <c r="DR300" s="22"/>
      <c r="DS300" s="22"/>
      <c r="DT300" s="22"/>
      <c r="DU300" s="22"/>
      <c r="DV300" s="22"/>
      <c r="DW300" s="22"/>
      <c r="DX300" s="22"/>
      <c r="DY300" s="22"/>
      <c r="DZ300" s="22"/>
      <c r="EA300" s="22"/>
      <c r="EB300" s="22"/>
      <c r="EC300" s="22"/>
      <c r="ED300" s="22"/>
      <c r="EE300" s="22"/>
      <c r="EF300" s="22"/>
      <c r="EG300" s="22"/>
      <c r="EH300" s="22"/>
      <c r="EI300" s="22"/>
      <c r="EJ300" s="22"/>
      <c r="EK300" s="22"/>
      <c r="EL300" s="22"/>
      <c r="EM300" s="22"/>
      <c r="EN300" s="22"/>
      <c r="EO300" s="22"/>
      <c r="EP300" s="22"/>
      <c r="EQ300" s="22"/>
      <c r="ER300" s="22"/>
      <c r="ES300" s="22"/>
      <c r="ET300" s="22"/>
      <c r="EU300" s="22"/>
      <c r="EV300" s="22"/>
      <c r="EW300" s="22"/>
      <c r="EX300" s="22"/>
      <c r="EY300" s="22"/>
      <c r="EZ300" s="22"/>
      <c r="FA300" s="22"/>
      <c r="FB300" s="22"/>
      <c r="FC300" s="22"/>
      <c r="FD300" s="22"/>
      <c r="FE300" s="22"/>
      <c r="FF300" s="22"/>
      <c r="FG300" s="22"/>
      <c r="FH300" s="22"/>
      <c r="FI300" s="22"/>
      <c r="FJ300" s="22"/>
      <c r="FK300" s="22"/>
      <c r="FL300" s="22"/>
      <c r="FM300" s="22"/>
      <c r="FN300" s="22"/>
      <c r="FO300" s="22"/>
      <c r="FP300" s="22"/>
      <c r="FQ300" s="22"/>
      <c r="FR300" s="22"/>
      <c r="FS300" s="22"/>
      <c r="FT300" s="22"/>
      <c r="FU300" s="22"/>
      <c r="FV300" s="22"/>
      <c r="FW300" s="22"/>
      <c r="FX300" s="22"/>
      <c r="FY300" s="22"/>
      <c r="FZ300" s="22"/>
      <c r="GA300" s="22"/>
      <c r="GB300" s="22"/>
      <c r="GC300" s="22"/>
      <c r="GD300" s="22"/>
      <c r="GE300" s="22"/>
      <c r="GF300" s="22"/>
      <c r="GG300" s="22"/>
      <c r="GH300" s="22"/>
      <c r="GI300" s="22"/>
      <c r="GJ300" s="22"/>
      <c r="GK300" s="22"/>
      <c r="GL300" s="22"/>
    </row>
    <row r="301" spans="1:194" s="22" customFormat="1" x14ac:dyDescent="0.25">
      <c r="A301" s="19" t="s">
        <v>188</v>
      </c>
      <c r="B301" s="20">
        <f t="shared" si="46"/>
        <v>1229946</v>
      </c>
      <c r="C301" s="20">
        <f t="shared" si="46"/>
        <v>1229946</v>
      </c>
      <c r="D301" s="20">
        <f t="shared" si="46"/>
        <v>0</v>
      </c>
      <c r="E301" s="20">
        <f>SUM(E302:E303)</f>
        <v>72000</v>
      </c>
      <c r="F301" s="20">
        <f>SUM(F302:F303)</f>
        <v>54638</v>
      </c>
      <c r="G301" s="20">
        <f t="shared" si="47"/>
        <v>-17362</v>
      </c>
      <c r="H301" s="20">
        <f>SUM(H302:H303)</f>
        <v>0</v>
      </c>
      <c r="I301" s="20">
        <f>SUM(I302:I303)</f>
        <v>0</v>
      </c>
      <c r="J301" s="20">
        <f t="shared" si="48"/>
        <v>0</v>
      </c>
      <c r="K301" s="20">
        <f>SUM(K302:K303)</f>
        <v>0</v>
      </c>
      <c r="L301" s="20">
        <f>SUM(L302:L303)</f>
        <v>0</v>
      </c>
      <c r="M301" s="20">
        <f t="shared" si="49"/>
        <v>0</v>
      </c>
      <c r="N301" s="20">
        <f>SUM(N302:N303)</f>
        <v>0</v>
      </c>
      <c r="O301" s="20">
        <f>SUM(O302:O303)</f>
        <v>0</v>
      </c>
      <c r="P301" s="20">
        <f t="shared" si="50"/>
        <v>0</v>
      </c>
      <c r="Q301" s="20">
        <f>SUM(Q302:Q303)</f>
        <v>1157946</v>
      </c>
      <c r="R301" s="20">
        <f>SUM(R302:R303)</f>
        <v>1157946</v>
      </c>
      <c r="S301" s="20">
        <f t="shared" si="51"/>
        <v>0</v>
      </c>
      <c r="T301" s="20">
        <f>SUM(T302:T303)</f>
        <v>0</v>
      </c>
      <c r="U301" s="20">
        <f>SUM(U302:U303)</f>
        <v>0</v>
      </c>
      <c r="V301" s="20">
        <f t="shared" si="52"/>
        <v>0</v>
      </c>
      <c r="W301" s="20">
        <f>SUM(W302:W303)</f>
        <v>0</v>
      </c>
      <c r="X301" s="20">
        <f>SUM(X302:X303)</f>
        <v>0</v>
      </c>
      <c r="Y301" s="20">
        <f t="shared" si="53"/>
        <v>0</v>
      </c>
      <c r="Z301" s="20">
        <f>SUM(Z302:Z303)</f>
        <v>0</v>
      </c>
      <c r="AA301" s="20">
        <f>SUM(AA302:AA303)</f>
        <v>17362</v>
      </c>
      <c r="AB301" s="20">
        <f t="shared" si="54"/>
        <v>17362</v>
      </c>
    </row>
    <row r="302" spans="1:194" s="22" customFormat="1" ht="47.25" x14ac:dyDescent="0.25">
      <c r="A302" s="37" t="s">
        <v>256</v>
      </c>
      <c r="B302" s="28">
        <f t="shared" si="46"/>
        <v>72000</v>
      </c>
      <c r="C302" s="28">
        <f t="shared" si="46"/>
        <v>72000</v>
      </c>
      <c r="D302" s="28">
        <f t="shared" si="46"/>
        <v>0</v>
      </c>
      <c r="E302" s="28">
        <v>72000</v>
      </c>
      <c r="F302" s="28">
        <f>72000-17362</f>
        <v>54638</v>
      </c>
      <c r="G302" s="28">
        <f t="shared" si="47"/>
        <v>-17362</v>
      </c>
      <c r="H302" s="28"/>
      <c r="I302" s="28"/>
      <c r="J302" s="28">
        <f t="shared" si="48"/>
        <v>0</v>
      </c>
      <c r="K302" s="28"/>
      <c r="L302" s="28"/>
      <c r="M302" s="28">
        <f t="shared" si="49"/>
        <v>0</v>
      </c>
      <c r="N302" s="28"/>
      <c r="O302" s="28"/>
      <c r="P302" s="28">
        <f t="shared" si="50"/>
        <v>0</v>
      </c>
      <c r="Q302" s="28"/>
      <c r="R302" s="28"/>
      <c r="S302" s="28">
        <f t="shared" si="51"/>
        <v>0</v>
      </c>
      <c r="T302" s="28"/>
      <c r="U302" s="28"/>
      <c r="V302" s="28">
        <f t="shared" si="52"/>
        <v>0</v>
      </c>
      <c r="W302" s="28"/>
      <c r="X302" s="28"/>
      <c r="Y302" s="28">
        <f t="shared" si="53"/>
        <v>0</v>
      </c>
      <c r="Z302" s="28">
        <f>0</f>
        <v>0</v>
      </c>
      <c r="AA302" s="28">
        <f>17362</f>
        <v>17362</v>
      </c>
      <c r="AB302" s="28">
        <f t="shared" si="54"/>
        <v>17362</v>
      </c>
    </row>
    <row r="303" spans="1:194" s="22" customFormat="1" ht="47.25" x14ac:dyDescent="0.25">
      <c r="A303" s="32" t="s">
        <v>257</v>
      </c>
      <c r="B303" s="28">
        <f t="shared" si="46"/>
        <v>1157946</v>
      </c>
      <c r="C303" s="28">
        <f t="shared" si="46"/>
        <v>1157946</v>
      </c>
      <c r="D303" s="28">
        <f t="shared" si="46"/>
        <v>0</v>
      </c>
      <c r="E303" s="28"/>
      <c r="F303" s="28"/>
      <c r="G303" s="28">
        <f t="shared" si="47"/>
        <v>0</v>
      </c>
      <c r="H303" s="28"/>
      <c r="I303" s="28"/>
      <c r="J303" s="28">
        <f t="shared" si="48"/>
        <v>0</v>
      </c>
      <c r="K303" s="28"/>
      <c r="L303" s="28"/>
      <c r="M303" s="28">
        <f t="shared" si="49"/>
        <v>0</v>
      </c>
      <c r="N303" s="28"/>
      <c r="O303" s="28"/>
      <c r="P303" s="28">
        <f t="shared" si="50"/>
        <v>0</v>
      </c>
      <c r="Q303" s="28">
        <f>1300000-142054</f>
        <v>1157946</v>
      </c>
      <c r="R303" s="28">
        <f>1300000-142054</f>
        <v>1157946</v>
      </c>
      <c r="S303" s="28">
        <f t="shared" si="51"/>
        <v>0</v>
      </c>
      <c r="T303" s="28"/>
      <c r="U303" s="28"/>
      <c r="V303" s="28">
        <f t="shared" si="52"/>
        <v>0</v>
      </c>
      <c r="W303" s="28"/>
      <c r="X303" s="28"/>
      <c r="Y303" s="28">
        <f t="shared" si="53"/>
        <v>0</v>
      </c>
      <c r="Z303" s="28"/>
      <c r="AA303" s="28"/>
      <c r="AB303" s="28">
        <f t="shared" si="54"/>
        <v>0</v>
      </c>
    </row>
    <row r="304" spans="1:194" s="22" customFormat="1" ht="31.5" x14ac:dyDescent="0.25">
      <c r="A304" s="19" t="s">
        <v>75</v>
      </c>
      <c r="B304" s="20">
        <f t="shared" si="46"/>
        <v>14539093</v>
      </c>
      <c r="C304" s="20">
        <f t="shared" si="46"/>
        <v>14212575</v>
      </c>
      <c r="D304" s="20">
        <f t="shared" si="46"/>
        <v>-326518</v>
      </c>
      <c r="E304" s="20">
        <f>SUM(E305,E309,E314,E329,E320,E364,E307)</f>
        <v>937300</v>
      </c>
      <c r="F304" s="20">
        <f>SUM(F305,F309,F314,F329,F320,F364,F307)</f>
        <v>377916</v>
      </c>
      <c r="G304" s="20">
        <f t="shared" si="47"/>
        <v>-559384</v>
      </c>
      <c r="H304" s="20">
        <f>SUM(H305,H309,H314,H329,H320,H364,H307)</f>
        <v>13320</v>
      </c>
      <c r="I304" s="20">
        <f>SUM(I305,I309,I314,I329,I320,I364,I307)</f>
        <v>277276</v>
      </c>
      <c r="J304" s="20">
        <f t="shared" si="48"/>
        <v>263956</v>
      </c>
      <c r="K304" s="20">
        <f>SUM(K305,K309,K314,K329,K320,K364,K307)</f>
        <v>792707</v>
      </c>
      <c r="L304" s="20">
        <f>SUM(L305,L309,L314,L329,L320,L364,L307)</f>
        <v>546316</v>
      </c>
      <c r="M304" s="20">
        <f t="shared" si="49"/>
        <v>-246391</v>
      </c>
      <c r="N304" s="20">
        <f>SUM(N305,N309,N314,N329,N320,N364,N307)</f>
        <v>0</v>
      </c>
      <c r="O304" s="20">
        <f>SUM(O305,O309,O314,O329,O320,O364,O307)</f>
        <v>0</v>
      </c>
      <c r="P304" s="20">
        <f t="shared" si="50"/>
        <v>0</v>
      </c>
      <c r="Q304" s="20">
        <f>SUM(Q305,Q309,Q314,Q329,Q320,Q364,Q307)</f>
        <v>338652</v>
      </c>
      <c r="R304" s="20">
        <f>SUM(R305,R309,R314,R329,R320,R364,R307)</f>
        <v>338652</v>
      </c>
      <c r="S304" s="20">
        <f t="shared" si="51"/>
        <v>0</v>
      </c>
      <c r="T304" s="20">
        <f>SUM(T305,T309,T314,T329,T320,T364,T307)</f>
        <v>9997</v>
      </c>
      <c r="U304" s="20">
        <f>SUM(U305,U309,U314,U329,U320,U364,U307)</f>
        <v>9997</v>
      </c>
      <c r="V304" s="20">
        <f t="shared" si="52"/>
        <v>0</v>
      </c>
      <c r="W304" s="20">
        <f>SUM(W305,W309,W314,W329,W320,W364,W307)</f>
        <v>1410064</v>
      </c>
      <c r="X304" s="20">
        <f>SUM(X305,X309,X314,X329,X320,X364,X307)</f>
        <v>1410064</v>
      </c>
      <c r="Y304" s="20">
        <f t="shared" si="53"/>
        <v>0</v>
      </c>
      <c r="Z304" s="20">
        <f>SUM(Z305,Z309,Z314,Z329,Z320,Z364,Z307)</f>
        <v>11037053</v>
      </c>
      <c r="AA304" s="20">
        <f>SUM(AA305,AA309,AA314,AA329,AA320,AA364,AA307)</f>
        <v>11252354</v>
      </c>
      <c r="AB304" s="20">
        <f t="shared" si="54"/>
        <v>215301</v>
      </c>
    </row>
    <row r="305" spans="1:194" s="21" customFormat="1" x14ac:dyDescent="0.25">
      <c r="A305" s="19" t="s">
        <v>168</v>
      </c>
      <c r="B305" s="20">
        <f t="shared" si="46"/>
        <v>650</v>
      </c>
      <c r="C305" s="20">
        <f t="shared" si="46"/>
        <v>650</v>
      </c>
      <c r="D305" s="20">
        <f t="shared" si="46"/>
        <v>0</v>
      </c>
      <c r="E305" s="20">
        <f>SUM(E306:E306)</f>
        <v>0</v>
      </c>
      <c r="F305" s="20">
        <f>SUM(F306:F306)</f>
        <v>0</v>
      </c>
      <c r="G305" s="20">
        <f t="shared" si="47"/>
        <v>0</v>
      </c>
      <c r="H305" s="20">
        <f>SUM(H306:H306)</f>
        <v>0</v>
      </c>
      <c r="I305" s="20">
        <f>SUM(I306:I306)</f>
        <v>0</v>
      </c>
      <c r="J305" s="20">
        <f t="shared" si="48"/>
        <v>0</v>
      </c>
      <c r="K305" s="20">
        <f>SUM(K306:K306)</f>
        <v>650</v>
      </c>
      <c r="L305" s="20">
        <f>SUM(L306:L306)</f>
        <v>650</v>
      </c>
      <c r="M305" s="20">
        <f t="shared" si="49"/>
        <v>0</v>
      </c>
      <c r="N305" s="20">
        <f>SUM(N306:N306)</f>
        <v>0</v>
      </c>
      <c r="O305" s="20">
        <f>SUM(O306:O306)</f>
        <v>0</v>
      </c>
      <c r="P305" s="20">
        <f t="shared" si="50"/>
        <v>0</v>
      </c>
      <c r="Q305" s="20">
        <f>SUM(Q306:Q306)</f>
        <v>0</v>
      </c>
      <c r="R305" s="20">
        <f>SUM(R306:R306)</f>
        <v>0</v>
      </c>
      <c r="S305" s="20">
        <f t="shared" si="51"/>
        <v>0</v>
      </c>
      <c r="T305" s="20">
        <f>SUM(T306:T306)</f>
        <v>0</v>
      </c>
      <c r="U305" s="20">
        <f>SUM(U306:U306)</f>
        <v>0</v>
      </c>
      <c r="V305" s="20">
        <f t="shared" si="52"/>
        <v>0</v>
      </c>
      <c r="W305" s="20">
        <f>SUM(W306:W306)</f>
        <v>0</v>
      </c>
      <c r="X305" s="20">
        <f>SUM(X306:X306)</f>
        <v>0</v>
      </c>
      <c r="Y305" s="20">
        <f t="shared" si="53"/>
        <v>0</v>
      </c>
      <c r="Z305" s="20">
        <f>SUM(Z306:Z306)</f>
        <v>0</v>
      </c>
      <c r="AA305" s="20">
        <f>SUM(AA306:AA306)</f>
        <v>0</v>
      </c>
      <c r="AB305" s="20">
        <f t="shared" si="54"/>
        <v>0</v>
      </c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  <c r="BY305" s="22"/>
      <c r="BZ305" s="22"/>
      <c r="CA305" s="22"/>
      <c r="CB305" s="22"/>
      <c r="CC305" s="22"/>
      <c r="CD305" s="22"/>
      <c r="CE305" s="22"/>
      <c r="CF305" s="22"/>
      <c r="CG305" s="22"/>
      <c r="CH305" s="22"/>
      <c r="CI305" s="22"/>
      <c r="CJ305" s="22"/>
      <c r="CK305" s="22"/>
      <c r="CL305" s="22"/>
      <c r="CM305" s="22"/>
      <c r="CN305" s="22"/>
      <c r="CO305" s="22"/>
      <c r="CP305" s="22"/>
      <c r="CQ305" s="22"/>
      <c r="CR305" s="22"/>
      <c r="CS305" s="22"/>
      <c r="CT305" s="22"/>
      <c r="CU305" s="22"/>
      <c r="CV305" s="22"/>
      <c r="CW305" s="22"/>
      <c r="CX305" s="22"/>
      <c r="CY305" s="22"/>
      <c r="CZ305" s="22"/>
      <c r="DA305" s="22"/>
      <c r="DB305" s="22"/>
      <c r="DC305" s="22"/>
      <c r="DD305" s="22"/>
      <c r="DE305" s="22"/>
      <c r="DF305" s="22"/>
      <c r="DG305" s="22"/>
      <c r="DH305" s="22"/>
      <c r="DI305" s="22"/>
      <c r="DJ305" s="22"/>
      <c r="DK305" s="22"/>
      <c r="DL305" s="22"/>
      <c r="DM305" s="22"/>
      <c r="DN305" s="22"/>
      <c r="DO305" s="22"/>
      <c r="DP305" s="22"/>
      <c r="DQ305" s="22"/>
      <c r="DR305" s="22"/>
      <c r="DS305" s="22"/>
      <c r="DT305" s="22"/>
      <c r="DU305" s="22"/>
      <c r="DV305" s="22"/>
      <c r="DW305" s="22"/>
      <c r="DX305" s="22"/>
      <c r="DY305" s="22"/>
      <c r="DZ305" s="22"/>
      <c r="EA305" s="22"/>
      <c r="EB305" s="22"/>
      <c r="EC305" s="22"/>
      <c r="ED305" s="22"/>
      <c r="EE305" s="22"/>
      <c r="EF305" s="22"/>
      <c r="EG305" s="22"/>
      <c r="EH305" s="22"/>
      <c r="EI305" s="22"/>
      <c r="EJ305" s="22"/>
      <c r="EK305" s="22"/>
      <c r="EL305" s="22"/>
      <c r="EM305" s="22"/>
      <c r="EN305" s="22"/>
      <c r="EO305" s="22"/>
      <c r="EP305" s="22"/>
      <c r="EQ305" s="22"/>
      <c r="ER305" s="22"/>
      <c r="ES305" s="22"/>
      <c r="ET305" s="22"/>
      <c r="EU305" s="22"/>
      <c r="EV305" s="22"/>
      <c r="EW305" s="22"/>
      <c r="EX305" s="22"/>
      <c r="EY305" s="22"/>
      <c r="EZ305" s="22"/>
      <c r="FA305" s="22"/>
      <c r="FB305" s="22"/>
      <c r="FC305" s="22"/>
      <c r="FD305" s="22"/>
      <c r="FE305" s="22"/>
      <c r="FF305" s="22"/>
      <c r="FG305" s="22"/>
      <c r="FH305" s="22"/>
      <c r="FI305" s="22"/>
      <c r="FJ305" s="22"/>
      <c r="FK305" s="22"/>
      <c r="FL305" s="22"/>
      <c r="FM305" s="22"/>
      <c r="FN305" s="22"/>
      <c r="FO305" s="22"/>
      <c r="FP305" s="22"/>
      <c r="FQ305" s="22"/>
      <c r="FR305" s="22"/>
      <c r="FS305" s="22"/>
      <c r="FT305" s="22"/>
      <c r="FU305" s="22"/>
      <c r="FV305" s="22"/>
      <c r="FW305" s="22"/>
      <c r="FX305" s="22"/>
      <c r="FY305" s="22"/>
      <c r="FZ305" s="22"/>
      <c r="GA305" s="22"/>
      <c r="GB305" s="22"/>
      <c r="GC305" s="22"/>
      <c r="GD305" s="22"/>
      <c r="GE305" s="22"/>
      <c r="GF305" s="22"/>
      <c r="GG305" s="22"/>
      <c r="GH305" s="22"/>
      <c r="GI305" s="22"/>
      <c r="GJ305" s="22"/>
      <c r="GK305" s="22"/>
      <c r="GL305" s="22"/>
    </row>
    <row r="306" spans="1:194" s="22" customFormat="1" x14ac:dyDescent="0.25">
      <c r="A306" s="37" t="s">
        <v>258</v>
      </c>
      <c r="B306" s="28">
        <f t="shared" si="46"/>
        <v>650</v>
      </c>
      <c r="C306" s="28">
        <f t="shared" si="46"/>
        <v>650</v>
      </c>
      <c r="D306" s="28">
        <f t="shared" si="46"/>
        <v>0</v>
      </c>
      <c r="E306" s="28"/>
      <c r="F306" s="28"/>
      <c r="G306" s="28">
        <f t="shared" si="47"/>
        <v>0</v>
      </c>
      <c r="H306" s="28"/>
      <c r="I306" s="28"/>
      <c r="J306" s="28">
        <f t="shared" si="48"/>
        <v>0</v>
      </c>
      <c r="K306" s="28">
        <v>650</v>
      </c>
      <c r="L306" s="28">
        <v>650</v>
      </c>
      <c r="M306" s="28">
        <f t="shared" si="49"/>
        <v>0</v>
      </c>
      <c r="N306" s="28"/>
      <c r="O306" s="28"/>
      <c r="P306" s="28">
        <f t="shared" si="50"/>
        <v>0</v>
      </c>
      <c r="Q306" s="28"/>
      <c r="R306" s="28"/>
      <c r="S306" s="28">
        <f t="shared" si="51"/>
        <v>0</v>
      </c>
      <c r="T306" s="28"/>
      <c r="U306" s="28"/>
      <c r="V306" s="28">
        <f t="shared" si="52"/>
        <v>0</v>
      </c>
      <c r="W306" s="28"/>
      <c r="X306" s="28"/>
      <c r="Y306" s="28">
        <f t="shared" si="53"/>
        <v>0</v>
      </c>
      <c r="Z306" s="28"/>
      <c r="AA306" s="28"/>
      <c r="AB306" s="28">
        <f t="shared" si="54"/>
        <v>0</v>
      </c>
    </row>
    <row r="307" spans="1:194" s="22" customFormat="1" x14ac:dyDescent="0.25">
      <c r="A307" s="19" t="s">
        <v>174</v>
      </c>
      <c r="B307" s="20">
        <f t="shared" si="46"/>
        <v>0</v>
      </c>
      <c r="C307" s="20">
        <f t="shared" si="46"/>
        <v>0</v>
      </c>
      <c r="D307" s="20">
        <f t="shared" si="46"/>
        <v>0</v>
      </c>
      <c r="E307" s="20">
        <f>SUM(E308:E308)</f>
        <v>0</v>
      </c>
      <c r="F307" s="20">
        <f>SUM(F308:F308)</f>
        <v>0</v>
      </c>
      <c r="G307" s="20">
        <f t="shared" si="47"/>
        <v>0</v>
      </c>
      <c r="H307" s="20">
        <f>SUM(H308:H308)</f>
        <v>0</v>
      </c>
      <c r="I307" s="20">
        <f>SUM(I308:I308)</f>
        <v>0</v>
      </c>
      <c r="J307" s="20">
        <f t="shared" si="48"/>
        <v>0</v>
      </c>
      <c r="K307" s="20">
        <f>SUM(K308:K308)</f>
        <v>0</v>
      </c>
      <c r="L307" s="20">
        <f>SUM(L308:L308)</f>
        <v>0</v>
      </c>
      <c r="M307" s="20">
        <f t="shared" si="49"/>
        <v>0</v>
      </c>
      <c r="N307" s="20">
        <f>SUM(N308:N308)</f>
        <v>0</v>
      </c>
      <c r="O307" s="20">
        <f>SUM(O308:O308)</f>
        <v>0</v>
      </c>
      <c r="P307" s="20">
        <f t="shared" si="50"/>
        <v>0</v>
      </c>
      <c r="Q307" s="20">
        <f>SUM(Q308:Q308)</f>
        <v>0</v>
      </c>
      <c r="R307" s="20">
        <f>SUM(R308:R308)</f>
        <v>0</v>
      </c>
      <c r="S307" s="20">
        <f t="shared" si="51"/>
        <v>0</v>
      </c>
      <c r="T307" s="20">
        <f>SUM(T308:T308)</f>
        <v>0</v>
      </c>
      <c r="U307" s="20">
        <f>SUM(U308:U308)</f>
        <v>0</v>
      </c>
      <c r="V307" s="20">
        <f t="shared" si="52"/>
        <v>0</v>
      </c>
      <c r="W307" s="20">
        <f>SUM(W308:W308)</f>
        <v>0</v>
      </c>
      <c r="X307" s="20">
        <f>SUM(X308:X308)</f>
        <v>0</v>
      </c>
      <c r="Y307" s="20">
        <f t="shared" si="53"/>
        <v>0</v>
      </c>
      <c r="Z307" s="20">
        <f>SUM(Z308:Z308)</f>
        <v>0</v>
      </c>
      <c r="AA307" s="20">
        <f>SUM(AA308:AA308)</f>
        <v>0</v>
      </c>
      <c r="AB307" s="20">
        <f t="shared" si="54"/>
        <v>0</v>
      </c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  <c r="BT307" s="21"/>
      <c r="BU307" s="21"/>
      <c r="BV307" s="21"/>
      <c r="BW307" s="21"/>
      <c r="BX307" s="21"/>
      <c r="BY307" s="21"/>
      <c r="BZ307" s="21"/>
      <c r="CA307" s="21"/>
      <c r="CB307" s="21"/>
      <c r="CC307" s="21"/>
      <c r="CD307" s="21"/>
      <c r="CE307" s="21"/>
      <c r="CF307" s="21"/>
      <c r="CG307" s="21"/>
      <c r="CH307" s="21"/>
      <c r="CI307" s="21"/>
      <c r="CJ307" s="21"/>
      <c r="CK307" s="21"/>
      <c r="CL307" s="21"/>
      <c r="CM307" s="21"/>
      <c r="CN307" s="21"/>
      <c r="CO307" s="21"/>
      <c r="CP307" s="21"/>
      <c r="CQ307" s="21"/>
      <c r="CR307" s="21"/>
      <c r="CS307" s="21"/>
      <c r="CT307" s="21"/>
      <c r="CU307" s="21"/>
      <c r="CV307" s="21"/>
      <c r="CW307" s="21"/>
      <c r="CX307" s="21"/>
      <c r="CY307" s="21"/>
      <c r="CZ307" s="21"/>
      <c r="DA307" s="21"/>
      <c r="DB307" s="21"/>
      <c r="DC307" s="21"/>
      <c r="DD307" s="21"/>
      <c r="DE307" s="21"/>
      <c r="DF307" s="21"/>
      <c r="DG307" s="21"/>
      <c r="DH307" s="21"/>
      <c r="DI307" s="21"/>
      <c r="DJ307" s="21"/>
      <c r="DK307" s="21"/>
      <c r="DL307" s="21"/>
      <c r="DM307" s="21"/>
      <c r="DN307" s="21"/>
      <c r="DO307" s="21"/>
      <c r="DP307" s="21"/>
      <c r="DQ307" s="21"/>
      <c r="DR307" s="21"/>
      <c r="DS307" s="21"/>
      <c r="DT307" s="21"/>
      <c r="DU307" s="21"/>
      <c r="DV307" s="21"/>
      <c r="DW307" s="21"/>
      <c r="DX307" s="21"/>
      <c r="DY307" s="21"/>
      <c r="DZ307" s="21"/>
      <c r="EA307" s="21"/>
      <c r="EB307" s="21"/>
      <c r="EC307" s="21"/>
      <c r="ED307" s="21"/>
      <c r="EE307" s="21"/>
      <c r="EF307" s="21"/>
      <c r="EG307" s="21"/>
      <c r="EH307" s="21"/>
      <c r="EI307" s="21"/>
      <c r="EJ307" s="21"/>
      <c r="EK307" s="21"/>
      <c r="EL307" s="21"/>
      <c r="EM307" s="21"/>
      <c r="EN307" s="21"/>
      <c r="EO307" s="21"/>
      <c r="EP307" s="21"/>
      <c r="EQ307" s="21"/>
      <c r="ER307" s="21"/>
      <c r="ES307" s="21"/>
      <c r="ET307" s="21"/>
      <c r="EU307" s="21"/>
      <c r="EV307" s="21"/>
      <c r="EW307" s="21"/>
      <c r="EX307" s="21"/>
      <c r="EY307" s="21"/>
      <c r="EZ307" s="21"/>
      <c r="FA307" s="21"/>
      <c r="FB307" s="21"/>
      <c r="FC307" s="21"/>
      <c r="FD307" s="21"/>
      <c r="FE307" s="21"/>
      <c r="FF307" s="21"/>
      <c r="FG307" s="21"/>
      <c r="FH307" s="21"/>
      <c r="FI307" s="21"/>
      <c r="FJ307" s="21"/>
      <c r="FK307" s="21"/>
      <c r="FL307" s="21"/>
      <c r="FM307" s="21"/>
      <c r="FN307" s="21"/>
      <c r="FO307" s="21"/>
      <c r="FP307" s="21"/>
      <c r="FQ307" s="21"/>
      <c r="FR307" s="21"/>
    </row>
    <row r="308" spans="1:194" s="22" customFormat="1" x14ac:dyDescent="0.25">
      <c r="A308" s="32"/>
      <c r="B308" s="28">
        <f t="shared" si="46"/>
        <v>0</v>
      </c>
      <c r="C308" s="28">
        <f t="shared" si="46"/>
        <v>0</v>
      </c>
      <c r="D308" s="28">
        <f t="shared" si="46"/>
        <v>0</v>
      </c>
      <c r="E308" s="28"/>
      <c r="F308" s="28"/>
      <c r="G308" s="28">
        <f t="shared" si="47"/>
        <v>0</v>
      </c>
      <c r="H308" s="28"/>
      <c r="I308" s="28"/>
      <c r="J308" s="28">
        <f t="shared" si="48"/>
        <v>0</v>
      </c>
      <c r="K308" s="28"/>
      <c r="L308" s="28"/>
      <c r="M308" s="28">
        <f t="shared" si="49"/>
        <v>0</v>
      </c>
      <c r="N308" s="28"/>
      <c r="O308" s="28"/>
      <c r="P308" s="28">
        <f t="shared" si="50"/>
        <v>0</v>
      </c>
      <c r="Q308" s="28"/>
      <c r="R308" s="28"/>
      <c r="S308" s="28">
        <f t="shared" si="51"/>
        <v>0</v>
      </c>
      <c r="T308" s="28"/>
      <c r="U308" s="28"/>
      <c r="V308" s="28">
        <f t="shared" si="52"/>
        <v>0</v>
      </c>
      <c r="W308" s="28"/>
      <c r="X308" s="28"/>
      <c r="Y308" s="28">
        <f t="shared" si="53"/>
        <v>0</v>
      </c>
      <c r="Z308" s="28"/>
      <c r="AA308" s="28"/>
      <c r="AB308" s="28">
        <f t="shared" si="54"/>
        <v>0</v>
      </c>
      <c r="FS308" s="21"/>
      <c r="FT308" s="21"/>
      <c r="FU308" s="21"/>
      <c r="FV308" s="21"/>
      <c r="FW308" s="21"/>
      <c r="FX308" s="21"/>
      <c r="FY308" s="21"/>
      <c r="FZ308" s="21"/>
      <c r="GA308" s="21"/>
      <c r="GB308" s="21"/>
      <c r="GC308" s="21"/>
      <c r="GD308" s="21"/>
      <c r="GE308" s="21"/>
      <c r="GF308" s="21"/>
      <c r="GG308" s="21"/>
      <c r="GH308" s="21"/>
      <c r="GI308" s="21"/>
      <c r="GJ308" s="21"/>
      <c r="GK308" s="21"/>
      <c r="GL308" s="21"/>
    </row>
    <row r="309" spans="1:194" s="21" customFormat="1" x14ac:dyDescent="0.25">
      <c r="A309" s="19" t="s">
        <v>176</v>
      </c>
      <c r="B309" s="20">
        <f t="shared" si="46"/>
        <v>345803</v>
      </c>
      <c r="C309" s="20">
        <f t="shared" si="46"/>
        <v>345803</v>
      </c>
      <c r="D309" s="20">
        <f t="shared" si="46"/>
        <v>0</v>
      </c>
      <c r="E309" s="20">
        <f>SUM(E310:E313)</f>
        <v>0</v>
      </c>
      <c r="F309" s="20">
        <f>SUM(F310:F313)</f>
        <v>0</v>
      </c>
      <c r="G309" s="20">
        <f t="shared" si="47"/>
        <v>0</v>
      </c>
      <c r="H309" s="20">
        <f>SUM(H310:H313)</f>
        <v>0</v>
      </c>
      <c r="I309" s="20">
        <f>SUM(I310:I313)</f>
        <v>0</v>
      </c>
      <c r="J309" s="20">
        <f t="shared" si="48"/>
        <v>0</v>
      </c>
      <c r="K309" s="20">
        <f>SUM(K310:K313)</f>
        <v>2151</v>
      </c>
      <c r="L309" s="20">
        <f>SUM(L310:L313)</f>
        <v>2151</v>
      </c>
      <c r="M309" s="20">
        <f t="shared" si="49"/>
        <v>0</v>
      </c>
      <c r="N309" s="20">
        <f>SUM(N310:N313)</f>
        <v>0</v>
      </c>
      <c r="O309" s="20">
        <f>SUM(O310:O313)</f>
        <v>0</v>
      </c>
      <c r="P309" s="20">
        <f t="shared" si="50"/>
        <v>0</v>
      </c>
      <c r="Q309" s="20">
        <f>SUM(Q310:Q313)</f>
        <v>338652</v>
      </c>
      <c r="R309" s="20">
        <f>SUM(R310:R313)</f>
        <v>338652</v>
      </c>
      <c r="S309" s="20">
        <f t="shared" si="51"/>
        <v>0</v>
      </c>
      <c r="T309" s="20">
        <f>SUM(T310:T313)</f>
        <v>0</v>
      </c>
      <c r="U309" s="20">
        <f>SUM(U310:U313)</f>
        <v>0</v>
      </c>
      <c r="V309" s="20">
        <f t="shared" si="52"/>
        <v>0</v>
      </c>
      <c r="W309" s="20">
        <f>SUM(W310:W313)</f>
        <v>0</v>
      </c>
      <c r="X309" s="20">
        <f>SUM(X310:X313)</f>
        <v>0</v>
      </c>
      <c r="Y309" s="20">
        <f t="shared" si="53"/>
        <v>0</v>
      </c>
      <c r="Z309" s="20">
        <f>SUM(Z310:Z313)</f>
        <v>5000</v>
      </c>
      <c r="AA309" s="20">
        <f>SUM(AA310:AA313)</f>
        <v>5000</v>
      </c>
      <c r="AB309" s="20">
        <f t="shared" si="54"/>
        <v>0</v>
      </c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2"/>
      <c r="CP309" s="22"/>
      <c r="CQ309" s="22"/>
      <c r="CR309" s="22"/>
      <c r="CS309" s="22"/>
      <c r="CT309" s="22"/>
      <c r="CU309" s="22"/>
      <c r="CV309" s="22"/>
      <c r="CW309" s="22"/>
      <c r="CX309" s="22"/>
      <c r="CY309" s="22"/>
      <c r="CZ309" s="22"/>
      <c r="DA309" s="22"/>
      <c r="DB309" s="22"/>
      <c r="DC309" s="22"/>
      <c r="DD309" s="22"/>
      <c r="DE309" s="22"/>
      <c r="DF309" s="22"/>
      <c r="DG309" s="22"/>
      <c r="DH309" s="22"/>
      <c r="DI309" s="22"/>
      <c r="DJ309" s="22"/>
      <c r="DK309" s="22"/>
      <c r="DL309" s="22"/>
      <c r="DM309" s="22"/>
      <c r="DN309" s="22"/>
      <c r="DO309" s="22"/>
      <c r="DP309" s="22"/>
      <c r="DQ309" s="22"/>
      <c r="DR309" s="22"/>
      <c r="DS309" s="22"/>
      <c r="DT309" s="22"/>
      <c r="DU309" s="22"/>
      <c r="DV309" s="22"/>
      <c r="DW309" s="22"/>
      <c r="DX309" s="22"/>
      <c r="DY309" s="22"/>
      <c r="DZ309" s="22"/>
      <c r="EA309" s="22"/>
      <c r="EB309" s="22"/>
      <c r="EC309" s="22"/>
      <c r="ED309" s="22"/>
      <c r="EE309" s="22"/>
      <c r="EF309" s="22"/>
      <c r="EG309" s="22"/>
      <c r="EH309" s="22"/>
      <c r="EI309" s="22"/>
      <c r="EJ309" s="22"/>
      <c r="EK309" s="22"/>
      <c r="EL309" s="22"/>
      <c r="EM309" s="22"/>
      <c r="EN309" s="22"/>
      <c r="EO309" s="22"/>
      <c r="EP309" s="22"/>
      <c r="EQ309" s="22"/>
      <c r="ER309" s="22"/>
      <c r="ES309" s="22"/>
      <c r="ET309" s="22"/>
      <c r="EU309" s="22"/>
      <c r="EV309" s="22"/>
      <c r="EW309" s="22"/>
      <c r="EX309" s="22"/>
      <c r="EY309" s="22"/>
      <c r="EZ309" s="22"/>
      <c r="FA309" s="22"/>
      <c r="FB309" s="22"/>
      <c r="FC309" s="22"/>
      <c r="FD309" s="22"/>
      <c r="FE309" s="22"/>
      <c r="FF309" s="22"/>
      <c r="FG309" s="22"/>
      <c r="FH309" s="22"/>
      <c r="FI309" s="22"/>
      <c r="FJ309" s="22"/>
      <c r="FK309" s="22"/>
      <c r="FL309" s="22"/>
      <c r="FM309" s="22"/>
      <c r="FN309" s="22"/>
      <c r="FO309" s="22"/>
      <c r="FP309" s="22"/>
      <c r="FQ309" s="22"/>
      <c r="FR309" s="22"/>
      <c r="FS309" s="22"/>
      <c r="FT309" s="22"/>
      <c r="FU309" s="22"/>
      <c r="FV309" s="22"/>
      <c r="FW309" s="22"/>
      <c r="FX309" s="22"/>
      <c r="FY309" s="22"/>
      <c r="FZ309" s="22"/>
      <c r="GA309" s="22"/>
      <c r="GB309" s="22"/>
      <c r="GC309" s="22"/>
      <c r="GD309" s="22"/>
      <c r="GE309" s="22"/>
      <c r="GF309" s="22"/>
      <c r="GG309" s="22"/>
      <c r="GH309" s="22"/>
      <c r="GI309" s="22"/>
      <c r="GJ309" s="22"/>
      <c r="GK309" s="22"/>
      <c r="GL309" s="22"/>
    </row>
    <row r="310" spans="1:194" s="22" customFormat="1" x14ac:dyDescent="0.25">
      <c r="A310" s="37" t="s">
        <v>259</v>
      </c>
      <c r="B310" s="28">
        <f t="shared" si="46"/>
        <v>0</v>
      </c>
      <c r="C310" s="28">
        <f t="shared" si="46"/>
        <v>0</v>
      </c>
      <c r="D310" s="28">
        <f t="shared" si="46"/>
        <v>0</v>
      </c>
      <c r="E310" s="28"/>
      <c r="F310" s="28"/>
      <c r="G310" s="28">
        <f t="shared" si="47"/>
        <v>0</v>
      </c>
      <c r="H310" s="28"/>
      <c r="I310" s="28"/>
      <c r="J310" s="28">
        <f t="shared" si="48"/>
        <v>0</v>
      </c>
      <c r="K310" s="28">
        <v>0</v>
      </c>
      <c r="L310" s="28">
        <v>0</v>
      </c>
      <c r="M310" s="28">
        <f t="shared" si="49"/>
        <v>0</v>
      </c>
      <c r="N310" s="28"/>
      <c r="O310" s="28"/>
      <c r="P310" s="28">
        <f t="shared" si="50"/>
        <v>0</v>
      </c>
      <c r="Q310" s="28"/>
      <c r="R310" s="28"/>
      <c r="S310" s="28">
        <f t="shared" si="51"/>
        <v>0</v>
      </c>
      <c r="T310" s="28"/>
      <c r="U310" s="28"/>
      <c r="V310" s="28">
        <f t="shared" si="52"/>
        <v>0</v>
      </c>
      <c r="W310" s="28"/>
      <c r="X310" s="28"/>
      <c r="Y310" s="28">
        <f t="shared" si="53"/>
        <v>0</v>
      </c>
      <c r="Z310" s="28"/>
      <c r="AA310" s="28"/>
      <c r="AB310" s="28">
        <f t="shared" si="54"/>
        <v>0</v>
      </c>
    </row>
    <row r="311" spans="1:194" s="22" customFormat="1" ht="63" x14ac:dyDescent="0.25">
      <c r="A311" s="32" t="s">
        <v>260</v>
      </c>
      <c r="B311" s="28">
        <f t="shared" si="46"/>
        <v>338652</v>
      </c>
      <c r="C311" s="28">
        <f t="shared" si="46"/>
        <v>338652</v>
      </c>
      <c r="D311" s="28">
        <f t="shared" si="46"/>
        <v>0</v>
      </c>
      <c r="E311" s="28"/>
      <c r="F311" s="28"/>
      <c r="G311" s="28">
        <f t="shared" si="47"/>
        <v>0</v>
      </c>
      <c r="H311" s="28"/>
      <c r="I311" s="28"/>
      <c r="J311" s="28">
        <f t="shared" si="48"/>
        <v>0</v>
      </c>
      <c r="K311" s="28"/>
      <c r="L311" s="28"/>
      <c r="M311" s="28">
        <f t="shared" si="49"/>
        <v>0</v>
      </c>
      <c r="N311" s="28"/>
      <c r="O311" s="28"/>
      <c r="P311" s="28">
        <f t="shared" si="50"/>
        <v>0</v>
      </c>
      <c r="Q311" s="28">
        <v>338652</v>
      </c>
      <c r="R311" s="28">
        <v>338652</v>
      </c>
      <c r="S311" s="28">
        <f t="shared" si="51"/>
        <v>0</v>
      </c>
      <c r="T311" s="28"/>
      <c r="U311" s="28"/>
      <c r="V311" s="28">
        <f t="shared" si="52"/>
        <v>0</v>
      </c>
      <c r="W311" s="28"/>
      <c r="X311" s="28"/>
      <c r="Y311" s="28">
        <f t="shared" si="53"/>
        <v>0</v>
      </c>
      <c r="Z311" s="28"/>
      <c r="AA311" s="28"/>
      <c r="AB311" s="28">
        <f t="shared" si="54"/>
        <v>0</v>
      </c>
    </row>
    <row r="312" spans="1:194" s="22" customFormat="1" x14ac:dyDescent="0.25">
      <c r="A312" s="32" t="s">
        <v>261</v>
      </c>
      <c r="B312" s="28">
        <f t="shared" si="46"/>
        <v>2151</v>
      </c>
      <c r="C312" s="28">
        <f t="shared" si="46"/>
        <v>2151</v>
      </c>
      <c r="D312" s="28">
        <f t="shared" si="46"/>
        <v>0</v>
      </c>
      <c r="E312" s="28"/>
      <c r="F312" s="28"/>
      <c r="G312" s="28">
        <f t="shared" si="47"/>
        <v>0</v>
      </c>
      <c r="H312" s="28"/>
      <c r="I312" s="28"/>
      <c r="J312" s="28">
        <f t="shared" si="48"/>
        <v>0</v>
      </c>
      <c r="K312" s="28">
        <v>2151</v>
      </c>
      <c r="L312" s="28">
        <v>2151</v>
      </c>
      <c r="M312" s="28">
        <f t="shared" si="49"/>
        <v>0</v>
      </c>
      <c r="N312" s="28"/>
      <c r="O312" s="28"/>
      <c r="P312" s="28">
        <f t="shared" si="50"/>
        <v>0</v>
      </c>
      <c r="Q312" s="28"/>
      <c r="R312" s="28"/>
      <c r="S312" s="28">
        <f t="shared" si="51"/>
        <v>0</v>
      </c>
      <c r="T312" s="28"/>
      <c r="U312" s="28"/>
      <c r="V312" s="28">
        <f t="shared" si="52"/>
        <v>0</v>
      </c>
      <c r="W312" s="28"/>
      <c r="X312" s="28"/>
      <c r="Y312" s="28">
        <f t="shared" si="53"/>
        <v>0</v>
      </c>
      <c r="Z312" s="28"/>
      <c r="AA312" s="28"/>
      <c r="AB312" s="28">
        <f t="shared" si="54"/>
        <v>0</v>
      </c>
    </row>
    <row r="313" spans="1:194" s="22" customFormat="1" x14ac:dyDescent="0.25">
      <c r="A313" s="37" t="s">
        <v>262</v>
      </c>
      <c r="B313" s="28">
        <f t="shared" si="46"/>
        <v>5000</v>
      </c>
      <c r="C313" s="28">
        <f t="shared" si="46"/>
        <v>5000</v>
      </c>
      <c r="D313" s="28">
        <f t="shared" si="46"/>
        <v>0</v>
      </c>
      <c r="E313" s="28"/>
      <c r="F313" s="28"/>
      <c r="G313" s="28">
        <f t="shared" si="47"/>
        <v>0</v>
      </c>
      <c r="H313" s="28"/>
      <c r="I313" s="28"/>
      <c r="J313" s="28">
        <f t="shared" si="48"/>
        <v>0</v>
      </c>
      <c r="K313" s="28"/>
      <c r="L313" s="28"/>
      <c r="M313" s="28">
        <f t="shared" si="49"/>
        <v>0</v>
      </c>
      <c r="N313" s="28"/>
      <c r="O313" s="28"/>
      <c r="P313" s="28">
        <f t="shared" si="50"/>
        <v>0</v>
      </c>
      <c r="Q313" s="28"/>
      <c r="R313" s="28"/>
      <c r="S313" s="28">
        <f t="shared" si="51"/>
        <v>0</v>
      </c>
      <c r="T313" s="28"/>
      <c r="U313" s="28"/>
      <c r="V313" s="28">
        <f t="shared" si="52"/>
        <v>0</v>
      </c>
      <c r="W313" s="28"/>
      <c r="X313" s="28"/>
      <c r="Y313" s="28">
        <f t="shared" si="53"/>
        <v>0</v>
      </c>
      <c r="Z313" s="28">
        <v>5000</v>
      </c>
      <c r="AA313" s="28">
        <v>5000</v>
      </c>
      <c r="AB313" s="28">
        <f t="shared" si="54"/>
        <v>0</v>
      </c>
    </row>
    <row r="314" spans="1:194" s="22" customFormat="1" x14ac:dyDescent="0.25">
      <c r="A314" s="19" t="s">
        <v>182</v>
      </c>
      <c r="B314" s="20">
        <f t="shared" si="46"/>
        <v>214149</v>
      </c>
      <c r="C314" s="20">
        <f t="shared" si="46"/>
        <v>214149</v>
      </c>
      <c r="D314" s="20">
        <f t="shared" si="46"/>
        <v>0</v>
      </c>
      <c r="E314" s="20">
        <f>SUM(E315:E319)</f>
        <v>0</v>
      </c>
      <c r="F314" s="20">
        <f>SUM(F315:F319)</f>
        <v>0</v>
      </c>
      <c r="G314" s="20">
        <f t="shared" si="47"/>
        <v>0</v>
      </c>
      <c r="H314" s="20">
        <f>SUM(H315:H319)</f>
        <v>0</v>
      </c>
      <c r="I314" s="20">
        <f>SUM(I315:I319)</f>
        <v>0</v>
      </c>
      <c r="J314" s="20">
        <f t="shared" si="48"/>
        <v>0</v>
      </c>
      <c r="K314" s="20">
        <f>SUM(K315:K319)</f>
        <v>114149</v>
      </c>
      <c r="L314" s="20">
        <f>SUM(L315:L319)</f>
        <v>114149</v>
      </c>
      <c r="M314" s="20">
        <f t="shared" si="49"/>
        <v>0</v>
      </c>
      <c r="N314" s="20">
        <f>SUM(N315:N319)</f>
        <v>0</v>
      </c>
      <c r="O314" s="20">
        <f>SUM(O315:O319)</f>
        <v>0</v>
      </c>
      <c r="P314" s="20">
        <f t="shared" si="50"/>
        <v>0</v>
      </c>
      <c r="Q314" s="20">
        <f>SUM(Q315:Q319)</f>
        <v>0</v>
      </c>
      <c r="R314" s="20">
        <f>SUM(R315:R319)</f>
        <v>0</v>
      </c>
      <c r="S314" s="20">
        <f t="shared" si="51"/>
        <v>0</v>
      </c>
      <c r="T314" s="20">
        <f>SUM(T315:T319)</f>
        <v>0</v>
      </c>
      <c r="U314" s="20">
        <f>SUM(U315:U319)</f>
        <v>0</v>
      </c>
      <c r="V314" s="20">
        <f t="shared" si="52"/>
        <v>0</v>
      </c>
      <c r="W314" s="20">
        <f>SUM(W315:W319)</f>
        <v>0</v>
      </c>
      <c r="X314" s="20">
        <f>SUM(X315:X319)</f>
        <v>0</v>
      </c>
      <c r="Y314" s="20">
        <f t="shared" si="53"/>
        <v>0</v>
      </c>
      <c r="Z314" s="20">
        <f>SUM(Z315:Z319)</f>
        <v>100000</v>
      </c>
      <c r="AA314" s="20">
        <f>SUM(AA315:AA319)</f>
        <v>100000</v>
      </c>
      <c r="AB314" s="20">
        <f t="shared" si="54"/>
        <v>0</v>
      </c>
    </row>
    <row r="315" spans="1:194" s="22" customFormat="1" x14ac:dyDescent="0.25">
      <c r="A315" s="32" t="s">
        <v>263</v>
      </c>
      <c r="B315" s="28">
        <f t="shared" si="46"/>
        <v>60000</v>
      </c>
      <c r="C315" s="28">
        <f t="shared" si="46"/>
        <v>60000</v>
      </c>
      <c r="D315" s="28">
        <f t="shared" si="46"/>
        <v>0</v>
      </c>
      <c r="E315" s="28"/>
      <c r="F315" s="28"/>
      <c r="G315" s="28">
        <f t="shared" si="47"/>
        <v>0</v>
      </c>
      <c r="H315" s="28"/>
      <c r="I315" s="28"/>
      <c r="J315" s="28">
        <f t="shared" si="48"/>
        <v>0</v>
      </c>
      <c r="K315" s="28">
        <v>60000</v>
      </c>
      <c r="L315" s="28">
        <v>60000</v>
      </c>
      <c r="M315" s="28">
        <f t="shared" si="49"/>
        <v>0</v>
      </c>
      <c r="N315" s="28"/>
      <c r="O315" s="28"/>
      <c r="P315" s="28">
        <f t="shared" si="50"/>
        <v>0</v>
      </c>
      <c r="Q315" s="28"/>
      <c r="R315" s="28"/>
      <c r="S315" s="28">
        <f t="shared" si="51"/>
        <v>0</v>
      </c>
      <c r="T315" s="28"/>
      <c r="U315" s="28"/>
      <c r="V315" s="28">
        <f t="shared" si="52"/>
        <v>0</v>
      </c>
      <c r="W315" s="28"/>
      <c r="X315" s="28"/>
      <c r="Y315" s="28">
        <f t="shared" si="53"/>
        <v>0</v>
      </c>
      <c r="Z315" s="28"/>
      <c r="AA315" s="28"/>
      <c r="AB315" s="28">
        <f t="shared" si="54"/>
        <v>0</v>
      </c>
    </row>
    <row r="316" spans="1:194" s="22" customFormat="1" x14ac:dyDescent="0.25">
      <c r="A316" s="32" t="s">
        <v>264</v>
      </c>
      <c r="B316" s="28">
        <f t="shared" si="46"/>
        <v>25000</v>
      </c>
      <c r="C316" s="28">
        <f t="shared" si="46"/>
        <v>25000</v>
      </c>
      <c r="D316" s="28">
        <f t="shared" si="46"/>
        <v>0</v>
      </c>
      <c r="E316" s="28"/>
      <c r="F316" s="28"/>
      <c r="G316" s="28">
        <f t="shared" si="47"/>
        <v>0</v>
      </c>
      <c r="H316" s="28"/>
      <c r="I316" s="28"/>
      <c r="J316" s="28">
        <f t="shared" si="48"/>
        <v>0</v>
      </c>
      <c r="K316" s="28">
        <v>25000</v>
      </c>
      <c r="L316" s="28">
        <v>25000</v>
      </c>
      <c r="M316" s="28">
        <f t="shared" si="49"/>
        <v>0</v>
      </c>
      <c r="N316" s="28"/>
      <c r="O316" s="28"/>
      <c r="P316" s="28">
        <f t="shared" si="50"/>
        <v>0</v>
      </c>
      <c r="Q316" s="28"/>
      <c r="R316" s="28"/>
      <c r="S316" s="28">
        <f t="shared" si="51"/>
        <v>0</v>
      </c>
      <c r="T316" s="28"/>
      <c r="U316" s="28"/>
      <c r="V316" s="28">
        <f t="shared" si="52"/>
        <v>0</v>
      </c>
      <c r="W316" s="28"/>
      <c r="X316" s="28"/>
      <c r="Y316" s="28">
        <f t="shared" si="53"/>
        <v>0</v>
      </c>
      <c r="Z316" s="28"/>
      <c r="AA316" s="28"/>
      <c r="AB316" s="28">
        <f t="shared" si="54"/>
        <v>0</v>
      </c>
    </row>
    <row r="317" spans="1:194" s="22" customFormat="1" x14ac:dyDescent="0.25">
      <c r="A317" s="32" t="s">
        <v>265</v>
      </c>
      <c r="B317" s="28">
        <f t="shared" si="46"/>
        <v>14149</v>
      </c>
      <c r="C317" s="28">
        <f t="shared" si="46"/>
        <v>14149</v>
      </c>
      <c r="D317" s="28">
        <f t="shared" si="46"/>
        <v>0</v>
      </c>
      <c r="E317" s="28"/>
      <c r="F317" s="28"/>
      <c r="G317" s="28">
        <f t="shared" si="47"/>
        <v>0</v>
      </c>
      <c r="H317" s="28"/>
      <c r="I317" s="28"/>
      <c r="J317" s="28">
        <f t="shared" si="48"/>
        <v>0</v>
      </c>
      <c r="K317" s="28">
        <f>20000-5851</f>
        <v>14149</v>
      </c>
      <c r="L317" s="28">
        <f>20000-5851</f>
        <v>14149</v>
      </c>
      <c r="M317" s="28">
        <f t="shared" si="49"/>
        <v>0</v>
      </c>
      <c r="N317" s="28"/>
      <c r="O317" s="28"/>
      <c r="P317" s="28">
        <f t="shared" si="50"/>
        <v>0</v>
      </c>
      <c r="Q317" s="28"/>
      <c r="R317" s="28"/>
      <c r="S317" s="28">
        <f t="shared" si="51"/>
        <v>0</v>
      </c>
      <c r="T317" s="28"/>
      <c r="U317" s="28"/>
      <c r="V317" s="28">
        <f t="shared" si="52"/>
        <v>0</v>
      </c>
      <c r="W317" s="28"/>
      <c r="X317" s="28"/>
      <c r="Y317" s="28">
        <f t="shared" si="53"/>
        <v>0</v>
      </c>
      <c r="Z317" s="28"/>
      <c r="AA317" s="28"/>
      <c r="AB317" s="28">
        <f t="shared" si="54"/>
        <v>0</v>
      </c>
    </row>
    <row r="318" spans="1:194" s="22" customFormat="1" ht="31.5" x14ac:dyDescent="0.25">
      <c r="A318" s="32" t="s">
        <v>266</v>
      </c>
      <c r="B318" s="28">
        <f t="shared" si="46"/>
        <v>15000</v>
      </c>
      <c r="C318" s="28">
        <f t="shared" si="46"/>
        <v>15000</v>
      </c>
      <c r="D318" s="28">
        <f t="shared" si="46"/>
        <v>0</v>
      </c>
      <c r="E318" s="28"/>
      <c r="F318" s="28"/>
      <c r="G318" s="28">
        <f t="shared" si="47"/>
        <v>0</v>
      </c>
      <c r="H318" s="28"/>
      <c r="I318" s="28"/>
      <c r="J318" s="28">
        <f t="shared" si="48"/>
        <v>0</v>
      </c>
      <c r="K318" s="28">
        <f>26400-11400</f>
        <v>15000</v>
      </c>
      <c r="L318" s="28">
        <f>26400-11400</f>
        <v>15000</v>
      </c>
      <c r="M318" s="28">
        <f t="shared" si="49"/>
        <v>0</v>
      </c>
      <c r="N318" s="28"/>
      <c r="O318" s="28"/>
      <c r="P318" s="28">
        <f t="shared" si="50"/>
        <v>0</v>
      </c>
      <c r="Q318" s="28"/>
      <c r="R318" s="28"/>
      <c r="S318" s="28">
        <f t="shared" si="51"/>
        <v>0</v>
      </c>
      <c r="T318" s="28"/>
      <c r="U318" s="28"/>
      <c r="V318" s="28">
        <f t="shared" si="52"/>
        <v>0</v>
      </c>
      <c r="W318" s="28"/>
      <c r="X318" s="28"/>
      <c r="Y318" s="28">
        <f t="shared" si="53"/>
        <v>0</v>
      </c>
      <c r="Z318" s="28"/>
      <c r="AA318" s="28"/>
      <c r="AB318" s="28">
        <f t="shared" si="54"/>
        <v>0</v>
      </c>
    </row>
    <row r="319" spans="1:194" s="22" customFormat="1" ht="31.5" x14ac:dyDescent="0.25">
      <c r="A319" s="27" t="s">
        <v>267</v>
      </c>
      <c r="B319" s="28">
        <f t="shared" si="46"/>
        <v>100000</v>
      </c>
      <c r="C319" s="28">
        <f t="shared" si="46"/>
        <v>100000</v>
      </c>
      <c r="D319" s="28">
        <f t="shared" si="46"/>
        <v>0</v>
      </c>
      <c r="E319" s="28"/>
      <c r="F319" s="28"/>
      <c r="G319" s="28">
        <f t="shared" si="47"/>
        <v>0</v>
      </c>
      <c r="H319" s="28"/>
      <c r="I319" s="28"/>
      <c r="J319" s="28">
        <f t="shared" si="48"/>
        <v>0</v>
      </c>
      <c r="K319" s="28"/>
      <c r="L319" s="28"/>
      <c r="M319" s="28">
        <f t="shared" si="49"/>
        <v>0</v>
      </c>
      <c r="N319" s="28"/>
      <c r="O319" s="28"/>
      <c r="P319" s="28">
        <f t="shared" si="50"/>
        <v>0</v>
      </c>
      <c r="Q319" s="28"/>
      <c r="R319" s="28"/>
      <c r="S319" s="28">
        <f t="shared" si="51"/>
        <v>0</v>
      </c>
      <c r="T319" s="28"/>
      <c r="U319" s="28"/>
      <c r="V319" s="28">
        <f t="shared" si="52"/>
        <v>0</v>
      </c>
      <c r="W319" s="28"/>
      <c r="X319" s="28"/>
      <c r="Y319" s="28">
        <f t="shared" si="53"/>
        <v>0</v>
      </c>
      <c r="Z319" s="28">
        <v>100000</v>
      </c>
      <c r="AA319" s="28">
        <v>100000</v>
      </c>
      <c r="AB319" s="28">
        <f t="shared" si="54"/>
        <v>0</v>
      </c>
    </row>
    <row r="320" spans="1:194" s="22" customFormat="1" x14ac:dyDescent="0.25">
      <c r="A320" s="19" t="s">
        <v>216</v>
      </c>
      <c r="B320" s="20">
        <f t="shared" si="46"/>
        <v>37621</v>
      </c>
      <c r="C320" s="20">
        <f t="shared" si="46"/>
        <v>37621</v>
      </c>
      <c r="D320" s="20">
        <f t="shared" si="46"/>
        <v>0</v>
      </c>
      <c r="E320" s="20">
        <f>SUM(E321:E328)</f>
        <v>0</v>
      </c>
      <c r="F320" s="20">
        <f>SUM(F321:F328)</f>
        <v>0</v>
      </c>
      <c r="G320" s="20">
        <f t="shared" si="47"/>
        <v>0</v>
      </c>
      <c r="H320" s="20">
        <f>SUM(H321:H328)</f>
        <v>0</v>
      </c>
      <c r="I320" s="20">
        <f>SUM(I321:I328)</f>
        <v>0</v>
      </c>
      <c r="J320" s="20">
        <f t="shared" si="48"/>
        <v>0</v>
      </c>
      <c r="K320" s="20">
        <f>SUM(K321:K328)</f>
        <v>37621</v>
      </c>
      <c r="L320" s="20">
        <f>SUM(L321:L328)</f>
        <v>37621</v>
      </c>
      <c r="M320" s="20">
        <f t="shared" si="49"/>
        <v>0</v>
      </c>
      <c r="N320" s="20">
        <f>SUM(N321:N328)</f>
        <v>0</v>
      </c>
      <c r="O320" s="20">
        <f>SUM(O321:O328)</f>
        <v>0</v>
      </c>
      <c r="P320" s="20">
        <f t="shared" si="50"/>
        <v>0</v>
      </c>
      <c r="Q320" s="20">
        <f>SUM(Q321:Q328)</f>
        <v>0</v>
      </c>
      <c r="R320" s="20">
        <f>SUM(R321:R328)</f>
        <v>0</v>
      </c>
      <c r="S320" s="20">
        <f t="shared" si="51"/>
        <v>0</v>
      </c>
      <c r="T320" s="20">
        <f>SUM(T321:T328)</f>
        <v>0</v>
      </c>
      <c r="U320" s="20">
        <f>SUM(U321:U328)</f>
        <v>0</v>
      </c>
      <c r="V320" s="20">
        <f t="shared" si="52"/>
        <v>0</v>
      </c>
      <c r="W320" s="20">
        <f>SUM(W321:W328)</f>
        <v>0</v>
      </c>
      <c r="X320" s="20">
        <f>SUM(X321:X328)</f>
        <v>0</v>
      </c>
      <c r="Y320" s="20">
        <f t="shared" si="53"/>
        <v>0</v>
      </c>
      <c r="Z320" s="20">
        <f>SUM(Z321:Z328)</f>
        <v>0</v>
      </c>
      <c r="AA320" s="20">
        <f>SUM(AA321:AA328)</f>
        <v>0</v>
      </c>
      <c r="AB320" s="20">
        <f t="shared" si="54"/>
        <v>0</v>
      </c>
    </row>
    <row r="321" spans="1:28" s="22" customFormat="1" ht="47.25" x14ac:dyDescent="0.25">
      <c r="A321" s="32" t="s">
        <v>268</v>
      </c>
      <c r="B321" s="28">
        <f t="shared" si="46"/>
        <v>16160</v>
      </c>
      <c r="C321" s="28">
        <f t="shared" si="46"/>
        <v>16160</v>
      </c>
      <c r="D321" s="28">
        <f t="shared" si="46"/>
        <v>0</v>
      </c>
      <c r="E321" s="28"/>
      <c r="F321" s="28"/>
      <c r="G321" s="28">
        <f t="shared" si="47"/>
        <v>0</v>
      </c>
      <c r="H321" s="28"/>
      <c r="I321" s="28"/>
      <c r="J321" s="28">
        <f t="shared" si="48"/>
        <v>0</v>
      </c>
      <c r="K321" s="28">
        <v>16160</v>
      </c>
      <c r="L321" s="28">
        <v>16160</v>
      </c>
      <c r="M321" s="28">
        <f t="shared" si="49"/>
        <v>0</v>
      </c>
      <c r="N321" s="28"/>
      <c r="O321" s="28"/>
      <c r="P321" s="28">
        <f t="shared" si="50"/>
        <v>0</v>
      </c>
      <c r="Q321" s="28"/>
      <c r="R321" s="28"/>
      <c r="S321" s="28">
        <f t="shared" si="51"/>
        <v>0</v>
      </c>
      <c r="T321" s="28"/>
      <c r="U321" s="28"/>
      <c r="V321" s="28">
        <f t="shared" si="52"/>
        <v>0</v>
      </c>
      <c r="W321" s="28"/>
      <c r="X321" s="28"/>
      <c r="Y321" s="28">
        <f t="shared" si="53"/>
        <v>0</v>
      </c>
      <c r="Z321" s="28"/>
      <c r="AA321" s="28"/>
      <c r="AB321" s="28">
        <f t="shared" si="54"/>
        <v>0</v>
      </c>
    </row>
    <row r="322" spans="1:28" s="22" customFormat="1" ht="63" x14ac:dyDescent="0.25">
      <c r="A322" s="32" t="s">
        <v>269</v>
      </c>
      <c r="B322" s="28">
        <f t="shared" si="46"/>
        <v>12216</v>
      </c>
      <c r="C322" s="28">
        <f t="shared" si="46"/>
        <v>12216</v>
      </c>
      <c r="D322" s="28">
        <f t="shared" si="46"/>
        <v>0</v>
      </c>
      <c r="E322" s="28"/>
      <c r="F322" s="28"/>
      <c r="G322" s="28">
        <f t="shared" si="47"/>
        <v>0</v>
      </c>
      <c r="H322" s="28"/>
      <c r="I322" s="28"/>
      <c r="J322" s="28">
        <f t="shared" si="48"/>
        <v>0</v>
      </c>
      <c r="K322" s="28">
        <f>(2400+1480+3900)*1.2+2880</f>
        <v>12216</v>
      </c>
      <c r="L322" s="28">
        <f>(2400+1480+3900)*1.2+2880</f>
        <v>12216</v>
      </c>
      <c r="M322" s="28">
        <f t="shared" si="49"/>
        <v>0</v>
      </c>
      <c r="N322" s="28"/>
      <c r="O322" s="28"/>
      <c r="P322" s="28">
        <f t="shared" si="50"/>
        <v>0</v>
      </c>
      <c r="Q322" s="28"/>
      <c r="R322" s="28"/>
      <c r="S322" s="28">
        <f t="shared" si="51"/>
        <v>0</v>
      </c>
      <c r="T322" s="28"/>
      <c r="U322" s="28"/>
      <c r="V322" s="28">
        <f t="shared" si="52"/>
        <v>0</v>
      </c>
      <c r="W322" s="28"/>
      <c r="X322" s="28"/>
      <c r="Y322" s="28">
        <f t="shared" si="53"/>
        <v>0</v>
      </c>
      <c r="Z322" s="28"/>
      <c r="AA322" s="28"/>
      <c r="AB322" s="28">
        <f t="shared" si="54"/>
        <v>0</v>
      </c>
    </row>
    <row r="323" spans="1:28" s="22" customFormat="1" x14ac:dyDescent="0.25">
      <c r="A323" s="32" t="s">
        <v>270</v>
      </c>
      <c r="B323" s="28">
        <f t="shared" si="46"/>
        <v>3438</v>
      </c>
      <c r="C323" s="28">
        <f t="shared" si="46"/>
        <v>3438</v>
      </c>
      <c r="D323" s="28">
        <f t="shared" si="46"/>
        <v>0</v>
      </c>
      <c r="E323" s="28"/>
      <c r="F323" s="28"/>
      <c r="G323" s="28">
        <f t="shared" si="47"/>
        <v>0</v>
      </c>
      <c r="H323" s="28"/>
      <c r="I323" s="28"/>
      <c r="J323" s="28">
        <f t="shared" si="48"/>
        <v>0</v>
      </c>
      <c r="K323" s="28">
        <f>4000-2151+1500+89</f>
        <v>3438</v>
      </c>
      <c r="L323" s="28">
        <f>4000-2151+1500+89</f>
        <v>3438</v>
      </c>
      <c r="M323" s="28">
        <f t="shared" si="49"/>
        <v>0</v>
      </c>
      <c r="N323" s="28"/>
      <c r="O323" s="28"/>
      <c r="P323" s="28">
        <f t="shared" si="50"/>
        <v>0</v>
      </c>
      <c r="Q323" s="28"/>
      <c r="R323" s="28"/>
      <c r="S323" s="28">
        <f t="shared" si="51"/>
        <v>0</v>
      </c>
      <c r="T323" s="28"/>
      <c r="U323" s="28"/>
      <c r="V323" s="28">
        <f t="shared" si="52"/>
        <v>0</v>
      </c>
      <c r="W323" s="28"/>
      <c r="X323" s="28"/>
      <c r="Y323" s="28">
        <f t="shared" si="53"/>
        <v>0</v>
      </c>
      <c r="Z323" s="28"/>
      <c r="AA323" s="28"/>
      <c r="AB323" s="28">
        <f t="shared" si="54"/>
        <v>0</v>
      </c>
    </row>
    <row r="324" spans="1:28" s="22" customFormat="1" x14ac:dyDescent="0.25">
      <c r="A324" s="32" t="s">
        <v>271</v>
      </c>
      <c r="B324" s="28">
        <f t="shared" si="46"/>
        <v>0</v>
      </c>
      <c r="C324" s="28">
        <f t="shared" si="46"/>
        <v>0</v>
      </c>
      <c r="D324" s="28">
        <f t="shared" si="46"/>
        <v>0</v>
      </c>
      <c r="E324" s="28"/>
      <c r="F324" s="28"/>
      <c r="G324" s="28">
        <f t="shared" si="47"/>
        <v>0</v>
      </c>
      <c r="H324" s="28"/>
      <c r="I324" s="28"/>
      <c r="J324" s="28">
        <f t="shared" si="48"/>
        <v>0</v>
      </c>
      <c r="K324" s="28">
        <f>1300-1300</f>
        <v>0</v>
      </c>
      <c r="L324" s="28">
        <f>1300-1300</f>
        <v>0</v>
      </c>
      <c r="M324" s="28">
        <f t="shared" si="49"/>
        <v>0</v>
      </c>
      <c r="N324" s="28"/>
      <c r="O324" s="28"/>
      <c r="P324" s="28">
        <f t="shared" si="50"/>
        <v>0</v>
      </c>
      <c r="Q324" s="28"/>
      <c r="R324" s="28"/>
      <c r="S324" s="28">
        <f t="shared" si="51"/>
        <v>0</v>
      </c>
      <c r="T324" s="28"/>
      <c r="U324" s="28"/>
      <c r="V324" s="28">
        <f t="shared" si="52"/>
        <v>0</v>
      </c>
      <c r="W324" s="28"/>
      <c r="X324" s="28"/>
      <c r="Y324" s="28">
        <f t="shared" si="53"/>
        <v>0</v>
      </c>
      <c r="Z324" s="28"/>
      <c r="AA324" s="28"/>
      <c r="AB324" s="28">
        <f t="shared" si="54"/>
        <v>0</v>
      </c>
    </row>
    <row r="325" spans="1:28" s="22" customFormat="1" x14ac:dyDescent="0.25">
      <c r="A325" s="32" t="s">
        <v>272</v>
      </c>
      <c r="B325" s="28">
        <f t="shared" si="46"/>
        <v>1700</v>
      </c>
      <c r="C325" s="28">
        <f t="shared" si="46"/>
        <v>1700</v>
      </c>
      <c r="D325" s="28">
        <f t="shared" si="46"/>
        <v>0</v>
      </c>
      <c r="E325" s="28"/>
      <c r="F325" s="28"/>
      <c r="G325" s="28">
        <f t="shared" si="47"/>
        <v>0</v>
      </c>
      <c r="H325" s="28"/>
      <c r="I325" s="28"/>
      <c r="J325" s="28">
        <f t="shared" si="48"/>
        <v>0</v>
      </c>
      <c r="K325" s="28">
        <v>1700</v>
      </c>
      <c r="L325" s="28">
        <v>1700</v>
      </c>
      <c r="M325" s="28">
        <f t="shared" si="49"/>
        <v>0</v>
      </c>
      <c r="N325" s="28"/>
      <c r="O325" s="28"/>
      <c r="P325" s="28">
        <f t="shared" si="50"/>
        <v>0</v>
      </c>
      <c r="Q325" s="28"/>
      <c r="R325" s="28"/>
      <c r="S325" s="28">
        <f t="shared" si="51"/>
        <v>0</v>
      </c>
      <c r="T325" s="28"/>
      <c r="U325" s="28"/>
      <c r="V325" s="28">
        <f t="shared" si="52"/>
        <v>0</v>
      </c>
      <c r="W325" s="28"/>
      <c r="X325" s="28"/>
      <c r="Y325" s="28">
        <f t="shared" si="53"/>
        <v>0</v>
      </c>
      <c r="Z325" s="28"/>
      <c r="AA325" s="28"/>
      <c r="AB325" s="28">
        <f t="shared" si="54"/>
        <v>0</v>
      </c>
    </row>
    <row r="326" spans="1:28" s="22" customFormat="1" x14ac:dyDescent="0.25">
      <c r="A326" s="32" t="s">
        <v>273</v>
      </c>
      <c r="B326" s="28">
        <f t="shared" si="46"/>
        <v>1200</v>
      </c>
      <c r="C326" s="28">
        <f t="shared" si="46"/>
        <v>1200</v>
      </c>
      <c r="D326" s="28">
        <f t="shared" si="46"/>
        <v>0</v>
      </c>
      <c r="E326" s="28"/>
      <c r="F326" s="28"/>
      <c r="G326" s="28">
        <f t="shared" si="47"/>
        <v>0</v>
      </c>
      <c r="H326" s="28"/>
      <c r="I326" s="28"/>
      <c r="J326" s="28">
        <f t="shared" si="48"/>
        <v>0</v>
      </c>
      <c r="K326" s="28">
        <v>1200</v>
      </c>
      <c r="L326" s="28">
        <v>1200</v>
      </c>
      <c r="M326" s="28">
        <f t="shared" si="49"/>
        <v>0</v>
      </c>
      <c r="N326" s="28"/>
      <c r="O326" s="28"/>
      <c r="P326" s="28">
        <f t="shared" si="50"/>
        <v>0</v>
      </c>
      <c r="Q326" s="28"/>
      <c r="R326" s="28"/>
      <c r="S326" s="28">
        <f t="shared" si="51"/>
        <v>0</v>
      </c>
      <c r="T326" s="28"/>
      <c r="U326" s="28"/>
      <c r="V326" s="28">
        <f t="shared" si="52"/>
        <v>0</v>
      </c>
      <c r="W326" s="28"/>
      <c r="X326" s="28"/>
      <c r="Y326" s="28">
        <f t="shared" si="53"/>
        <v>0</v>
      </c>
      <c r="Z326" s="28"/>
      <c r="AA326" s="28"/>
      <c r="AB326" s="28">
        <f t="shared" si="54"/>
        <v>0</v>
      </c>
    </row>
    <row r="327" spans="1:28" s="22" customFormat="1" x14ac:dyDescent="0.25">
      <c r="A327" s="32" t="s">
        <v>274</v>
      </c>
      <c r="B327" s="28">
        <f t="shared" si="46"/>
        <v>1207</v>
      </c>
      <c r="C327" s="28">
        <f t="shared" si="46"/>
        <v>1207</v>
      </c>
      <c r="D327" s="28">
        <f t="shared" si="46"/>
        <v>0</v>
      </c>
      <c r="E327" s="28"/>
      <c r="F327" s="28"/>
      <c r="G327" s="28">
        <f t="shared" si="47"/>
        <v>0</v>
      </c>
      <c r="H327" s="28"/>
      <c r="I327" s="28"/>
      <c r="J327" s="28">
        <f t="shared" si="48"/>
        <v>0</v>
      </c>
      <c r="K327" s="28">
        <v>1207</v>
      </c>
      <c r="L327" s="28">
        <v>1207</v>
      </c>
      <c r="M327" s="28">
        <f t="shared" si="49"/>
        <v>0</v>
      </c>
      <c r="N327" s="28"/>
      <c r="O327" s="28"/>
      <c r="P327" s="28">
        <f t="shared" si="50"/>
        <v>0</v>
      </c>
      <c r="Q327" s="28"/>
      <c r="R327" s="28"/>
      <c r="S327" s="28">
        <f t="shared" si="51"/>
        <v>0</v>
      </c>
      <c r="T327" s="28"/>
      <c r="U327" s="28"/>
      <c r="V327" s="28">
        <f t="shared" si="52"/>
        <v>0</v>
      </c>
      <c r="W327" s="28"/>
      <c r="X327" s="28"/>
      <c r="Y327" s="28">
        <f t="shared" si="53"/>
        <v>0</v>
      </c>
      <c r="Z327" s="28"/>
      <c r="AA327" s="28"/>
      <c r="AB327" s="28">
        <f t="shared" si="54"/>
        <v>0</v>
      </c>
    </row>
    <row r="328" spans="1:28" s="22" customFormat="1" x14ac:dyDescent="0.25">
      <c r="A328" s="32" t="s">
        <v>275</v>
      </c>
      <c r="B328" s="28">
        <f t="shared" si="46"/>
        <v>1700</v>
      </c>
      <c r="C328" s="28">
        <f t="shared" si="46"/>
        <v>1700</v>
      </c>
      <c r="D328" s="28">
        <f t="shared" si="46"/>
        <v>0</v>
      </c>
      <c r="E328" s="28"/>
      <c r="F328" s="28"/>
      <c r="G328" s="28">
        <f t="shared" si="47"/>
        <v>0</v>
      </c>
      <c r="H328" s="28"/>
      <c r="I328" s="28"/>
      <c r="J328" s="28">
        <f t="shared" si="48"/>
        <v>0</v>
      </c>
      <c r="K328" s="28">
        <f>1932-232</f>
        <v>1700</v>
      </c>
      <c r="L328" s="28">
        <f>1932-232</f>
        <v>1700</v>
      </c>
      <c r="M328" s="28">
        <f t="shared" si="49"/>
        <v>0</v>
      </c>
      <c r="N328" s="28"/>
      <c r="O328" s="28"/>
      <c r="P328" s="28">
        <f t="shared" si="50"/>
        <v>0</v>
      </c>
      <c r="Q328" s="28"/>
      <c r="R328" s="28"/>
      <c r="S328" s="28">
        <f t="shared" si="51"/>
        <v>0</v>
      </c>
      <c r="T328" s="28"/>
      <c r="U328" s="28"/>
      <c r="V328" s="28">
        <f t="shared" si="52"/>
        <v>0</v>
      </c>
      <c r="W328" s="28"/>
      <c r="X328" s="28"/>
      <c r="Y328" s="28">
        <f t="shared" si="53"/>
        <v>0</v>
      </c>
      <c r="Z328" s="28"/>
      <c r="AA328" s="28"/>
      <c r="AB328" s="28">
        <f t="shared" si="54"/>
        <v>0</v>
      </c>
    </row>
    <row r="329" spans="1:28" s="22" customFormat="1" x14ac:dyDescent="0.25">
      <c r="A329" s="19" t="s">
        <v>188</v>
      </c>
      <c r="B329" s="20">
        <f t="shared" si="46"/>
        <v>13931780</v>
      </c>
      <c r="C329" s="20">
        <f t="shared" si="46"/>
        <v>13605262</v>
      </c>
      <c r="D329" s="20">
        <f t="shared" si="46"/>
        <v>-326518</v>
      </c>
      <c r="E329" s="20">
        <f>SUM(E330:E363)</f>
        <v>937300</v>
      </c>
      <c r="F329" s="20">
        <f>SUM(F330:F363)</f>
        <v>377916</v>
      </c>
      <c r="G329" s="20">
        <f t="shared" si="47"/>
        <v>-559384</v>
      </c>
      <c r="H329" s="20">
        <f>SUM(H330:H363)</f>
        <v>13320</v>
      </c>
      <c r="I329" s="20">
        <f>SUM(I330:I363)</f>
        <v>277276</v>
      </c>
      <c r="J329" s="20">
        <f t="shared" si="48"/>
        <v>263956</v>
      </c>
      <c r="K329" s="20">
        <f>SUM(K330:K363)</f>
        <v>629046</v>
      </c>
      <c r="L329" s="20">
        <f>SUM(L330:L363)</f>
        <v>382655</v>
      </c>
      <c r="M329" s="20">
        <f t="shared" si="49"/>
        <v>-246391</v>
      </c>
      <c r="N329" s="20">
        <f>SUM(N330:N363)</f>
        <v>0</v>
      </c>
      <c r="O329" s="20">
        <f>SUM(O330:O363)</f>
        <v>0</v>
      </c>
      <c r="P329" s="20">
        <f t="shared" si="50"/>
        <v>0</v>
      </c>
      <c r="Q329" s="20">
        <f>SUM(Q330:Q363)</f>
        <v>0</v>
      </c>
      <c r="R329" s="20">
        <f>SUM(R330:R363)</f>
        <v>0</v>
      </c>
      <c r="S329" s="20">
        <f t="shared" si="51"/>
        <v>0</v>
      </c>
      <c r="T329" s="20">
        <f>SUM(T330:T363)</f>
        <v>9997</v>
      </c>
      <c r="U329" s="20">
        <f>SUM(U330:U363)</f>
        <v>9997</v>
      </c>
      <c r="V329" s="20">
        <f t="shared" si="52"/>
        <v>0</v>
      </c>
      <c r="W329" s="20">
        <f>SUM(W330:W363)</f>
        <v>1410064</v>
      </c>
      <c r="X329" s="20">
        <f>SUM(X330:X363)</f>
        <v>1410064</v>
      </c>
      <c r="Y329" s="20">
        <f t="shared" si="53"/>
        <v>0</v>
      </c>
      <c r="Z329" s="20">
        <f>SUM(Z330:Z363)</f>
        <v>10932053</v>
      </c>
      <c r="AA329" s="20">
        <f>SUM(AA330:AA363)</f>
        <v>11147354</v>
      </c>
      <c r="AB329" s="20">
        <f t="shared" si="54"/>
        <v>215301</v>
      </c>
    </row>
    <row r="330" spans="1:28" s="22" customFormat="1" x14ac:dyDescent="0.25">
      <c r="A330" s="32" t="s">
        <v>276</v>
      </c>
      <c r="B330" s="28">
        <f t="shared" si="46"/>
        <v>82245</v>
      </c>
      <c r="C330" s="28">
        <f t="shared" si="46"/>
        <v>82245</v>
      </c>
      <c r="D330" s="28">
        <f t="shared" si="46"/>
        <v>0</v>
      </c>
      <c r="E330" s="28">
        <f>0</f>
        <v>0</v>
      </c>
      <c r="F330" s="28">
        <f>42452</f>
        <v>42452</v>
      </c>
      <c r="G330" s="28">
        <f t="shared" si="47"/>
        <v>42452</v>
      </c>
      <c r="H330" s="28"/>
      <c r="I330" s="28"/>
      <c r="J330" s="28">
        <f t="shared" si="48"/>
        <v>0</v>
      </c>
      <c r="K330" s="28">
        <f>50000+32245</f>
        <v>82245</v>
      </c>
      <c r="L330" s="28">
        <f>50000+32245-42452</f>
        <v>39793</v>
      </c>
      <c r="M330" s="28">
        <f t="shared" si="49"/>
        <v>-42452</v>
      </c>
      <c r="N330" s="28"/>
      <c r="O330" s="28"/>
      <c r="P330" s="28">
        <f t="shared" si="50"/>
        <v>0</v>
      </c>
      <c r="Q330" s="28"/>
      <c r="R330" s="28"/>
      <c r="S330" s="28">
        <f t="shared" si="51"/>
        <v>0</v>
      </c>
      <c r="T330" s="28"/>
      <c r="U330" s="28"/>
      <c r="V330" s="28">
        <f t="shared" si="52"/>
        <v>0</v>
      </c>
      <c r="W330" s="28"/>
      <c r="X330" s="28"/>
      <c r="Y330" s="28">
        <f t="shared" si="53"/>
        <v>0</v>
      </c>
      <c r="Z330" s="28"/>
      <c r="AA330" s="28"/>
      <c r="AB330" s="28">
        <f t="shared" si="54"/>
        <v>0</v>
      </c>
    </row>
    <row r="331" spans="1:28" s="22" customFormat="1" x14ac:dyDescent="0.25">
      <c r="A331" s="32" t="s">
        <v>277</v>
      </c>
      <c r="B331" s="28">
        <f t="shared" si="46"/>
        <v>9996</v>
      </c>
      <c r="C331" s="28">
        <f t="shared" si="46"/>
        <v>9996</v>
      </c>
      <c r="D331" s="28">
        <f t="shared" si="46"/>
        <v>0</v>
      </c>
      <c r="E331" s="28"/>
      <c r="F331" s="28"/>
      <c r="G331" s="28">
        <f t="shared" si="47"/>
        <v>0</v>
      </c>
      <c r="H331" s="28"/>
      <c r="I331" s="28"/>
      <c r="J331" s="28">
        <f t="shared" si="48"/>
        <v>0</v>
      </c>
      <c r="K331" s="28"/>
      <c r="L331" s="28"/>
      <c r="M331" s="28">
        <f t="shared" si="49"/>
        <v>0</v>
      </c>
      <c r="N331" s="28"/>
      <c r="O331" s="28"/>
      <c r="P331" s="28">
        <f t="shared" si="50"/>
        <v>0</v>
      </c>
      <c r="Q331" s="28"/>
      <c r="R331" s="28"/>
      <c r="S331" s="28">
        <f t="shared" si="51"/>
        <v>0</v>
      </c>
      <c r="T331" s="28">
        <v>4998</v>
      </c>
      <c r="U331" s="28">
        <v>4998</v>
      </c>
      <c r="V331" s="28">
        <f t="shared" si="52"/>
        <v>0</v>
      </c>
      <c r="W331" s="28"/>
      <c r="X331" s="28"/>
      <c r="Y331" s="28">
        <f t="shared" si="53"/>
        <v>0</v>
      </c>
      <c r="Z331" s="28">
        <v>4998</v>
      </c>
      <c r="AA331" s="28">
        <v>4998</v>
      </c>
      <c r="AB331" s="28">
        <f t="shared" si="54"/>
        <v>0</v>
      </c>
    </row>
    <row r="332" spans="1:28" s="22" customFormat="1" x14ac:dyDescent="0.25">
      <c r="A332" s="37" t="s">
        <v>278</v>
      </c>
      <c r="B332" s="28">
        <f t="shared" si="46"/>
        <v>52356</v>
      </c>
      <c r="C332" s="28">
        <f t="shared" si="46"/>
        <v>52356</v>
      </c>
      <c r="D332" s="28">
        <f t="shared" si="46"/>
        <v>0</v>
      </c>
      <c r="E332" s="28"/>
      <c r="F332" s="28"/>
      <c r="G332" s="28">
        <f t="shared" si="47"/>
        <v>0</v>
      </c>
      <c r="H332" s="28"/>
      <c r="I332" s="28"/>
      <c r="J332" s="28">
        <f t="shared" si="48"/>
        <v>0</v>
      </c>
      <c r="K332" s="28">
        <v>52356</v>
      </c>
      <c r="L332" s="28">
        <v>52356</v>
      </c>
      <c r="M332" s="28">
        <f t="shared" si="49"/>
        <v>0</v>
      </c>
      <c r="N332" s="28"/>
      <c r="O332" s="28"/>
      <c r="P332" s="28">
        <f t="shared" si="50"/>
        <v>0</v>
      </c>
      <c r="Q332" s="28"/>
      <c r="R332" s="28"/>
      <c r="S332" s="28">
        <f t="shared" si="51"/>
        <v>0</v>
      </c>
      <c r="T332" s="28"/>
      <c r="U332" s="28"/>
      <c r="V332" s="28">
        <f t="shared" si="52"/>
        <v>0</v>
      </c>
      <c r="W332" s="28"/>
      <c r="X332" s="28"/>
      <c r="Y332" s="28">
        <f t="shared" si="53"/>
        <v>0</v>
      </c>
      <c r="Z332" s="28"/>
      <c r="AA332" s="28"/>
      <c r="AB332" s="28">
        <f t="shared" si="54"/>
        <v>0</v>
      </c>
    </row>
    <row r="333" spans="1:28" s="22" customFormat="1" ht="31.5" x14ac:dyDescent="0.25">
      <c r="A333" s="37" t="s">
        <v>279</v>
      </c>
      <c r="B333" s="28">
        <f t="shared" si="46"/>
        <v>13884</v>
      </c>
      <c r="C333" s="28">
        <f t="shared" si="46"/>
        <v>13884</v>
      </c>
      <c r="D333" s="28">
        <f t="shared" si="46"/>
        <v>0</v>
      </c>
      <c r="E333" s="28"/>
      <c r="F333" s="28"/>
      <c r="G333" s="28">
        <f t="shared" si="47"/>
        <v>0</v>
      </c>
      <c r="H333" s="28"/>
      <c r="I333" s="28"/>
      <c r="J333" s="28">
        <f t="shared" si="48"/>
        <v>0</v>
      </c>
      <c r="K333" s="28">
        <v>13884</v>
      </c>
      <c r="L333" s="28">
        <v>13884</v>
      </c>
      <c r="M333" s="28">
        <f t="shared" si="49"/>
        <v>0</v>
      </c>
      <c r="N333" s="28"/>
      <c r="O333" s="28"/>
      <c r="P333" s="28">
        <f t="shared" si="50"/>
        <v>0</v>
      </c>
      <c r="Q333" s="28"/>
      <c r="R333" s="28"/>
      <c r="S333" s="28">
        <f t="shared" si="51"/>
        <v>0</v>
      </c>
      <c r="T333" s="28"/>
      <c r="U333" s="28"/>
      <c r="V333" s="28">
        <f t="shared" si="52"/>
        <v>0</v>
      </c>
      <c r="W333" s="28"/>
      <c r="X333" s="28"/>
      <c r="Y333" s="28">
        <f t="shared" si="53"/>
        <v>0</v>
      </c>
      <c r="Z333" s="28"/>
      <c r="AA333" s="28"/>
      <c r="AB333" s="28">
        <f t="shared" si="54"/>
        <v>0</v>
      </c>
    </row>
    <row r="334" spans="1:28" s="22" customFormat="1" ht="47.25" x14ac:dyDescent="0.25">
      <c r="A334" s="32" t="s">
        <v>280</v>
      </c>
      <c r="B334" s="28">
        <f t="shared" si="46"/>
        <v>7154</v>
      </c>
      <c r="C334" s="28">
        <f t="shared" si="46"/>
        <v>7154</v>
      </c>
      <c r="D334" s="28">
        <f t="shared" si="46"/>
        <v>0</v>
      </c>
      <c r="E334" s="28"/>
      <c r="F334" s="28"/>
      <c r="G334" s="28">
        <f t="shared" si="47"/>
        <v>0</v>
      </c>
      <c r="H334" s="28"/>
      <c r="I334" s="28"/>
      <c r="J334" s="28">
        <f t="shared" si="48"/>
        <v>0</v>
      </c>
      <c r="K334" s="28">
        <v>2155</v>
      </c>
      <c r="L334" s="28">
        <v>2155</v>
      </c>
      <c r="M334" s="28">
        <f t="shared" si="49"/>
        <v>0</v>
      </c>
      <c r="N334" s="28"/>
      <c r="O334" s="28"/>
      <c r="P334" s="28">
        <f t="shared" si="50"/>
        <v>0</v>
      </c>
      <c r="Q334" s="28"/>
      <c r="R334" s="28"/>
      <c r="S334" s="28">
        <f t="shared" si="51"/>
        <v>0</v>
      </c>
      <c r="T334" s="28">
        <v>4999</v>
      </c>
      <c r="U334" s="28">
        <v>4999</v>
      </c>
      <c r="V334" s="28">
        <f t="shared" si="52"/>
        <v>0</v>
      </c>
      <c r="W334" s="28"/>
      <c r="X334" s="28"/>
      <c r="Y334" s="28">
        <f t="shared" si="53"/>
        <v>0</v>
      </c>
      <c r="Z334" s="28"/>
      <c r="AA334" s="28"/>
      <c r="AB334" s="28">
        <f t="shared" si="54"/>
        <v>0</v>
      </c>
    </row>
    <row r="335" spans="1:28" s="22" customFormat="1" ht="31.5" x14ac:dyDescent="0.25">
      <c r="A335" s="24" t="s">
        <v>281</v>
      </c>
      <c r="B335" s="28">
        <f t="shared" si="46"/>
        <v>35160</v>
      </c>
      <c r="C335" s="28">
        <f t="shared" si="46"/>
        <v>35160</v>
      </c>
      <c r="D335" s="28">
        <f t="shared" si="46"/>
        <v>0</v>
      </c>
      <c r="E335" s="28"/>
      <c r="F335" s="28"/>
      <c r="G335" s="28">
        <f t="shared" si="47"/>
        <v>0</v>
      </c>
      <c r="H335" s="28"/>
      <c r="I335" s="28"/>
      <c r="J335" s="28">
        <f t="shared" si="48"/>
        <v>0</v>
      </c>
      <c r="K335" s="28"/>
      <c r="L335" s="28"/>
      <c r="M335" s="28">
        <f t="shared" si="49"/>
        <v>0</v>
      </c>
      <c r="N335" s="28"/>
      <c r="O335" s="28"/>
      <c r="P335" s="28">
        <f t="shared" si="50"/>
        <v>0</v>
      </c>
      <c r="Q335" s="28"/>
      <c r="R335" s="28"/>
      <c r="S335" s="28">
        <f t="shared" si="51"/>
        <v>0</v>
      </c>
      <c r="T335" s="28"/>
      <c r="U335" s="28"/>
      <c r="V335" s="28">
        <f t="shared" si="52"/>
        <v>0</v>
      </c>
      <c r="W335" s="28"/>
      <c r="X335" s="28"/>
      <c r="Y335" s="28">
        <f t="shared" si="53"/>
        <v>0</v>
      </c>
      <c r="Z335" s="28">
        <v>35160</v>
      </c>
      <c r="AA335" s="28">
        <v>35160</v>
      </c>
      <c r="AB335" s="28">
        <f t="shared" si="54"/>
        <v>0</v>
      </c>
    </row>
    <row r="336" spans="1:28" s="22" customFormat="1" x14ac:dyDescent="0.25">
      <c r="A336" s="27" t="s">
        <v>282</v>
      </c>
      <c r="B336" s="28">
        <f t="shared" si="46"/>
        <v>69000</v>
      </c>
      <c r="C336" s="28">
        <f t="shared" si="46"/>
        <v>69000</v>
      </c>
      <c r="D336" s="28">
        <f t="shared" si="46"/>
        <v>0</v>
      </c>
      <c r="E336" s="28"/>
      <c r="F336" s="28"/>
      <c r="G336" s="28">
        <f t="shared" si="47"/>
        <v>0</v>
      </c>
      <c r="H336" s="28"/>
      <c r="I336" s="28"/>
      <c r="J336" s="28">
        <f t="shared" si="48"/>
        <v>0</v>
      </c>
      <c r="K336" s="28">
        <v>9000</v>
      </c>
      <c r="L336" s="28">
        <v>9000</v>
      </c>
      <c r="M336" s="28">
        <f t="shared" si="49"/>
        <v>0</v>
      </c>
      <c r="N336" s="28"/>
      <c r="O336" s="28"/>
      <c r="P336" s="28">
        <f t="shared" si="50"/>
        <v>0</v>
      </c>
      <c r="Q336" s="28"/>
      <c r="R336" s="28"/>
      <c r="S336" s="28">
        <f t="shared" si="51"/>
        <v>0</v>
      </c>
      <c r="T336" s="28"/>
      <c r="U336" s="28"/>
      <c r="V336" s="28">
        <f t="shared" si="52"/>
        <v>0</v>
      </c>
      <c r="W336" s="28"/>
      <c r="X336" s="28"/>
      <c r="Y336" s="28">
        <f t="shared" si="53"/>
        <v>0</v>
      </c>
      <c r="Z336" s="28">
        <v>60000</v>
      </c>
      <c r="AA336" s="28">
        <v>60000</v>
      </c>
      <c r="AB336" s="28">
        <f t="shared" si="54"/>
        <v>0</v>
      </c>
    </row>
    <row r="337" spans="1:28" s="22" customFormat="1" ht="31.5" x14ac:dyDescent="0.25">
      <c r="A337" s="24" t="s">
        <v>283</v>
      </c>
      <c r="B337" s="28">
        <f t="shared" si="46"/>
        <v>375401</v>
      </c>
      <c r="C337" s="28">
        <f t="shared" si="46"/>
        <v>323094</v>
      </c>
      <c r="D337" s="28">
        <f t="shared" si="46"/>
        <v>-52307</v>
      </c>
      <c r="E337" s="28">
        <v>87000</v>
      </c>
      <c r="F337" s="28">
        <f>87000-52307</f>
        <v>34693</v>
      </c>
      <c r="G337" s="28">
        <f t="shared" si="47"/>
        <v>-52307</v>
      </c>
      <c r="H337" s="28"/>
      <c r="I337" s="28"/>
      <c r="J337" s="28">
        <f t="shared" si="48"/>
        <v>0</v>
      </c>
      <c r="K337" s="28"/>
      <c r="L337" s="28"/>
      <c r="M337" s="28">
        <f t="shared" si="49"/>
        <v>0</v>
      </c>
      <c r="N337" s="28"/>
      <c r="O337" s="28"/>
      <c r="P337" s="28">
        <f t="shared" si="50"/>
        <v>0</v>
      </c>
      <c r="Q337" s="28"/>
      <c r="R337" s="28"/>
      <c r="S337" s="28">
        <f t="shared" si="51"/>
        <v>0</v>
      </c>
      <c r="T337" s="28"/>
      <c r="U337" s="28"/>
      <c r="V337" s="28">
        <f t="shared" si="52"/>
        <v>0</v>
      </c>
      <c r="W337" s="28">
        <v>288401</v>
      </c>
      <c r="X337" s="28">
        <v>288401</v>
      </c>
      <c r="Y337" s="28">
        <f t="shared" si="53"/>
        <v>0</v>
      </c>
      <c r="Z337" s="28"/>
      <c r="AA337" s="28"/>
      <c r="AB337" s="28">
        <f t="shared" si="54"/>
        <v>0</v>
      </c>
    </row>
    <row r="338" spans="1:28" s="22" customFormat="1" x14ac:dyDescent="0.25">
      <c r="A338" s="24" t="s">
        <v>284</v>
      </c>
      <c r="B338" s="28">
        <f t="shared" si="46"/>
        <v>327850</v>
      </c>
      <c r="C338" s="28">
        <f t="shared" si="46"/>
        <v>251850</v>
      </c>
      <c r="D338" s="28">
        <f t="shared" si="46"/>
        <v>-76000</v>
      </c>
      <c r="E338" s="28">
        <v>76000</v>
      </c>
      <c r="F338" s="28">
        <f>76000-76000</f>
        <v>0</v>
      </c>
      <c r="G338" s="28">
        <f t="shared" si="47"/>
        <v>-76000</v>
      </c>
      <c r="H338" s="28">
        <v>0</v>
      </c>
      <c r="I338" s="28"/>
      <c r="J338" s="28">
        <f t="shared" si="48"/>
        <v>0</v>
      </c>
      <c r="K338" s="28"/>
      <c r="L338" s="28"/>
      <c r="M338" s="28">
        <f t="shared" si="49"/>
        <v>0</v>
      </c>
      <c r="N338" s="28"/>
      <c r="O338" s="28"/>
      <c r="P338" s="28">
        <f t="shared" si="50"/>
        <v>0</v>
      </c>
      <c r="Q338" s="28"/>
      <c r="R338" s="28"/>
      <c r="S338" s="28">
        <f t="shared" si="51"/>
        <v>0</v>
      </c>
      <c r="T338" s="28"/>
      <c r="U338" s="28"/>
      <c r="V338" s="28">
        <f t="shared" si="52"/>
        <v>0</v>
      </c>
      <c r="W338" s="28">
        <v>251850</v>
      </c>
      <c r="X338" s="28">
        <v>251850</v>
      </c>
      <c r="Y338" s="28">
        <f t="shared" si="53"/>
        <v>0</v>
      </c>
      <c r="Z338" s="28"/>
      <c r="AA338" s="28"/>
      <c r="AB338" s="28">
        <f t="shared" si="54"/>
        <v>0</v>
      </c>
    </row>
    <row r="339" spans="1:28" s="22" customFormat="1" ht="31.5" x14ac:dyDescent="0.25">
      <c r="A339" s="24" t="s">
        <v>285</v>
      </c>
      <c r="B339" s="28">
        <f t="shared" si="46"/>
        <v>318045</v>
      </c>
      <c r="C339" s="28">
        <f t="shared" si="46"/>
        <v>244045</v>
      </c>
      <c r="D339" s="28">
        <f t="shared" si="46"/>
        <v>-74000</v>
      </c>
      <c r="E339" s="28">
        <v>74000</v>
      </c>
      <c r="F339" s="28">
        <f>74000-74000</f>
        <v>0</v>
      </c>
      <c r="G339" s="28">
        <f t="shared" si="47"/>
        <v>-74000</v>
      </c>
      <c r="H339" s="28"/>
      <c r="I339" s="28"/>
      <c r="J339" s="28">
        <f t="shared" si="48"/>
        <v>0</v>
      </c>
      <c r="K339" s="28"/>
      <c r="L339" s="28"/>
      <c r="M339" s="28">
        <f t="shared" si="49"/>
        <v>0</v>
      </c>
      <c r="N339" s="28"/>
      <c r="O339" s="28"/>
      <c r="P339" s="28">
        <f t="shared" si="50"/>
        <v>0</v>
      </c>
      <c r="Q339" s="28"/>
      <c r="R339" s="28"/>
      <c r="S339" s="28">
        <f t="shared" si="51"/>
        <v>0</v>
      </c>
      <c r="T339" s="28"/>
      <c r="U339" s="28"/>
      <c r="V339" s="28">
        <f t="shared" si="52"/>
        <v>0</v>
      </c>
      <c r="W339" s="28">
        <v>244045</v>
      </c>
      <c r="X339" s="28">
        <v>244045</v>
      </c>
      <c r="Y339" s="28">
        <f t="shared" si="53"/>
        <v>0</v>
      </c>
      <c r="Z339" s="28"/>
      <c r="AA339" s="28"/>
      <c r="AB339" s="28">
        <f t="shared" si="54"/>
        <v>0</v>
      </c>
    </row>
    <row r="340" spans="1:28" s="22" customFormat="1" ht="31.5" x14ac:dyDescent="0.25">
      <c r="A340" s="24" t="s">
        <v>286</v>
      </c>
      <c r="B340" s="28">
        <f t="shared" si="46"/>
        <v>227995</v>
      </c>
      <c r="C340" s="28">
        <f t="shared" si="46"/>
        <v>174995</v>
      </c>
      <c r="D340" s="28">
        <f t="shared" si="46"/>
        <v>-53000</v>
      </c>
      <c r="E340" s="28">
        <v>53000</v>
      </c>
      <c r="F340" s="28">
        <f>53000-53000</f>
        <v>0</v>
      </c>
      <c r="G340" s="28">
        <f t="shared" si="47"/>
        <v>-53000</v>
      </c>
      <c r="H340" s="28"/>
      <c r="I340" s="28"/>
      <c r="J340" s="28">
        <f t="shared" si="48"/>
        <v>0</v>
      </c>
      <c r="K340" s="28"/>
      <c r="L340" s="28"/>
      <c r="M340" s="28">
        <f t="shared" si="49"/>
        <v>0</v>
      </c>
      <c r="N340" s="28"/>
      <c r="O340" s="28"/>
      <c r="P340" s="28">
        <f t="shared" si="50"/>
        <v>0</v>
      </c>
      <c r="Q340" s="28"/>
      <c r="R340" s="28"/>
      <c r="S340" s="28">
        <f t="shared" si="51"/>
        <v>0</v>
      </c>
      <c r="T340" s="28"/>
      <c r="U340" s="28"/>
      <c r="V340" s="28">
        <f t="shared" si="52"/>
        <v>0</v>
      </c>
      <c r="W340" s="28">
        <v>174995</v>
      </c>
      <c r="X340" s="28">
        <v>174995</v>
      </c>
      <c r="Y340" s="28">
        <f t="shared" si="53"/>
        <v>0</v>
      </c>
      <c r="Z340" s="28"/>
      <c r="AA340" s="28"/>
      <c r="AB340" s="28">
        <f t="shared" si="54"/>
        <v>0</v>
      </c>
    </row>
    <row r="341" spans="1:28" s="22" customFormat="1" ht="31.5" x14ac:dyDescent="0.25">
      <c r="A341" s="24" t="s">
        <v>287</v>
      </c>
      <c r="B341" s="28">
        <f t="shared" si="46"/>
        <v>499669</v>
      </c>
      <c r="C341" s="28">
        <f t="shared" si="46"/>
        <v>383869</v>
      </c>
      <c r="D341" s="28">
        <f t="shared" si="46"/>
        <v>-115800</v>
      </c>
      <c r="E341" s="28">
        <v>115800</v>
      </c>
      <c r="F341" s="28">
        <f>115800-115800</f>
        <v>0</v>
      </c>
      <c r="G341" s="28">
        <f t="shared" si="47"/>
        <v>-115800</v>
      </c>
      <c r="H341" s="28"/>
      <c r="I341" s="28"/>
      <c r="J341" s="28">
        <f t="shared" si="48"/>
        <v>0</v>
      </c>
      <c r="K341" s="28"/>
      <c r="L341" s="28"/>
      <c r="M341" s="28">
        <f t="shared" si="49"/>
        <v>0</v>
      </c>
      <c r="N341" s="28"/>
      <c r="O341" s="28"/>
      <c r="P341" s="28">
        <f t="shared" si="50"/>
        <v>0</v>
      </c>
      <c r="Q341" s="28"/>
      <c r="R341" s="28"/>
      <c r="S341" s="28">
        <f t="shared" si="51"/>
        <v>0</v>
      </c>
      <c r="T341" s="28"/>
      <c r="U341" s="28"/>
      <c r="V341" s="28">
        <f t="shared" si="52"/>
        <v>0</v>
      </c>
      <c r="W341" s="28">
        <v>383869</v>
      </c>
      <c r="X341" s="28">
        <v>383869</v>
      </c>
      <c r="Y341" s="28">
        <f t="shared" si="53"/>
        <v>0</v>
      </c>
      <c r="Z341" s="28"/>
      <c r="AA341" s="28"/>
      <c r="AB341" s="28">
        <f t="shared" si="54"/>
        <v>0</v>
      </c>
    </row>
    <row r="342" spans="1:28" s="22" customFormat="1" ht="31.5" x14ac:dyDescent="0.25">
      <c r="A342" s="24" t="s">
        <v>288</v>
      </c>
      <c r="B342" s="28">
        <f t="shared" si="46"/>
        <v>1581754</v>
      </c>
      <c r="C342" s="28">
        <f t="shared" si="46"/>
        <v>1581754</v>
      </c>
      <c r="D342" s="28">
        <f t="shared" si="46"/>
        <v>0</v>
      </c>
      <c r="E342" s="28"/>
      <c r="F342" s="28"/>
      <c r="G342" s="28">
        <f t="shared" si="47"/>
        <v>0</v>
      </c>
      <c r="H342" s="28"/>
      <c r="I342" s="28"/>
      <c r="J342" s="28">
        <f t="shared" si="48"/>
        <v>0</v>
      </c>
      <c r="K342" s="28"/>
      <c r="L342" s="28"/>
      <c r="M342" s="28">
        <f t="shared" si="49"/>
        <v>0</v>
      </c>
      <c r="N342" s="28"/>
      <c r="O342" s="28"/>
      <c r="P342" s="28">
        <f t="shared" si="50"/>
        <v>0</v>
      </c>
      <c r="Q342" s="28"/>
      <c r="R342" s="28"/>
      <c r="S342" s="28">
        <f t="shared" si="51"/>
        <v>0</v>
      </c>
      <c r="T342" s="28"/>
      <c r="U342" s="28"/>
      <c r="V342" s="28">
        <f t="shared" si="52"/>
        <v>0</v>
      </c>
      <c r="W342" s="28"/>
      <c r="X342" s="28"/>
      <c r="Y342" s="28">
        <f t="shared" si="53"/>
        <v>0</v>
      </c>
      <c r="Z342" s="28">
        <v>1581754</v>
      </c>
      <c r="AA342" s="28">
        <v>1581754</v>
      </c>
      <c r="AB342" s="28">
        <f t="shared" si="54"/>
        <v>0</v>
      </c>
    </row>
    <row r="343" spans="1:28" s="22" customFormat="1" ht="47.25" x14ac:dyDescent="0.25">
      <c r="A343" s="24" t="s">
        <v>289</v>
      </c>
      <c r="B343" s="28">
        <f t="shared" si="46"/>
        <v>610895</v>
      </c>
      <c r="C343" s="28">
        <f t="shared" si="46"/>
        <v>610895</v>
      </c>
      <c r="D343" s="28">
        <f t="shared" si="46"/>
        <v>0</v>
      </c>
      <c r="E343" s="28"/>
      <c r="F343" s="28"/>
      <c r="G343" s="28">
        <f t="shared" si="47"/>
        <v>0</v>
      </c>
      <c r="H343" s="28"/>
      <c r="I343" s="28"/>
      <c r="J343" s="28">
        <f t="shared" si="48"/>
        <v>0</v>
      </c>
      <c r="K343" s="28"/>
      <c r="L343" s="28"/>
      <c r="M343" s="28">
        <f t="shared" si="49"/>
        <v>0</v>
      </c>
      <c r="N343" s="28"/>
      <c r="O343" s="28"/>
      <c r="P343" s="28">
        <f t="shared" si="50"/>
        <v>0</v>
      </c>
      <c r="Q343" s="28"/>
      <c r="R343" s="28"/>
      <c r="S343" s="28">
        <f t="shared" si="51"/>
        <v>0</v>
      </c>
      <c r="T343" s="28"/>
      <c r="U343" s="28"/>
      <c r="V343" s="28">
        <f t="shared" si="52"/>
        <v>0</v>
      </c>
      <c r="W343" s="28"/>
      <c r="X343" s="28"/>
      <c r="Y343" s="28">
        <f t="shared" si="53"/>
        <v>0</v>
      </c>
      <c r="Z343" s="28">
        <v>610895</v>
      </c>
      <c r="AA343" s="28">
        <v>610895</v>
      </c>
      <c r="AB343" s="28">
        <f t="shared" si="54"/>
        <v>0</v>
      </c>
    </row>
    <row r="344" spans="1:28" s="22" customFormat="1" ht="31.5" x14ac:dyDescent="0.25">
      <c r="A344" s="24" t="s">
        <v>290</v>
      </c>
      <c r="B344" s="28">
        <f t="shared" si="46"/>
        <v>615412</v>
      </c>
      <c r="C344" s="28">
        <f t="shared" si="46"/>
        <v>615412</v>
      </c>
      <c r="D344" s="28">
        <f t="shared" si="46"/>
        <v>0</v>
      </c>
      <c r="E344" s="28"/>
      <c r="F344" s="28"/>
      <c r="G344" s="28">
        <f t="shared" si="47"/>
        <v>0</v>
      </c>
      <c r="H344" s="28"/>
      <c r="I344" s="28"/>
      <c r="J344" s="28">
        <f t="shared" si="48"/>
        <v>0</v>
      </c>
      <c r="K344" s="28"/>
      <c r="L344" s="28"/>
      <c r="M344" s="28">
        <f t="shared" si="49"/>
        <v>0</v>
      </c>
      <c r="N344" s="28"/>
      <c r="O344" s="28"/>
      <c r="P344" s="28">
        <f t="shared" si="50"/>
        <v>0</v>
      </c>
      <c r="Q344" s="28"/>
      <c r="R344" s="28"/>
      <c r="S344" s="28">
        <f t="shared" si="51"/>
        <v>0</v>
      </c>
      <c r="T344" s="28"/>
      <c r="U344" s="28"/>
      <c r="V344" s="28">
        <f t="shared" si="52"/>
        <v>0</v>
      </c>
      <c r="W344" s="28"/>
      <c r="X344" s="28"/>
      <c r="Y344" s="28">
        <f t="shared" si="53"/>
        <v>0</v>
      </c>
      <c r="Z344" s="28">
        <v>615412</v>
      </c>
      <c r="AA344" s="28">
        <v>615412</v>
      </c>
      <c r="AB344" s="28">
        <f t="shared" si="54"/>
        <v>0</v>
      </c>
    </row>
    <row r="345" spans="1:28" s="22" customFormat="1" ht="47.25" x14ac:dyDescent="0.25">
      <c r="A345" s="24" t="s">
        <v>291</v>
      </c>
      <c r="B345" s="28">
        <f t="shared" si="46"/>
        <v>645892</v>
      </c>
      <c r="C345" s="28">
        <f t="shared" si="46"/>
        <v>645892</v>
      </c>
      <c r="D345" s="28">
        <f t="shared" si="46"/>
        <v>0</v>
      </c>
      <c r="E345" s="28"/>
      <c r="F345" s="28"/>
      <c r="G345" s="28">
        <f t="shared" si="47"/>
        <v>0</v>
      </c>
      <c r="H345" s="28"/>
      <c r="I345" s="28"/>
      <c r="J345" s="28">
        <f t="shared" si="48"/>
        <v>0</v>
      </c>
      <c r="K345" s="28"/>
      <c r="L345" s="28"/>
      <c r="M345" s="28">
        <f t="shared" si="49"/>
        <v>0</v>
      </c>
      <c r="N345" s="28"/>
      <c r="O345" s="28"/>
      <c r="P345" s="28">
        <f t="shared" si="50"/>
        <v>0</v>
      </c>
      <c r="Q345" s="28"/>
      <c r="R345" s="28"/>
      <c r="S345" s="28">
        <f t="shared" si="51"/>
        <v>0</v>
      </c>
      <c r="T345" s="28"/>
      <c r="U345" s="28"/>
      <c r="V345" s="28">
        <f t="shared" si="52"/>
        <v>0</v>
      </c>
      <c r="W345" s="28"/>
      <c r="X345" s="28"/>
      <c r="Y345" s="28">
        <f t="shared" si="53"/>
        <v>0</v>
      </c>
      <c r="Z345" s="28">
        <v>645892</v>
      </c>
      <c r="AA345" s="28">
        <v>645892</v>
      </c>
      <c r="AB345" s="28">
        <f t="shared" si="54"/>
        <v>0</v>
      </c>
    </row>
    <row r="346" spans="1:28" s="22" customFormat="1" ht="47.25" x14ac:dyDescent="0.25">
      <c r="A346" s="24" t="s">
        <v>292</v>
      </c>
      <c r="B346" s="28">
        <f t="shared" si="46"/>
        <v>637878</v>
      </c>
      <c r="C346" s="28">
        <f t="shared" si="46"/>
        <v>637878</v>
      </c>
      <c r="D346" s="28">
        <f t="shared" si="46"/>
        <v>0</v>
      </c>
      <c r="E346" s="28"/>
      <c r="F346" s="28"/>
      <c r="G346" s="28">
        <f t="shared" si="47"/>
        <v>0</v>
      </c>
      <c r="H346" s="28"/>
      <c r="I346" s="28"/>
      <c r="J346" s="28">
        <f t="shared" si="48"/>
        <v>0</v>
      </c>
      <c r="K346" s="28"/>
      <c r="L346" s="28"/>
      <c r="M346" s="28">
        <f t="shared" si="49"/>
        <v>0</v>
      </c>
      <c r="N346" s="28"/>
      <c r="O346" s="28"/>
      <c r="P346" s="28">
        <f t="shared" si="50"/>
        <v>0</v>
      </c>
      <c r="Q346" s="28"/>
      <c r="R346" s="28"/>
      <c r="S346" s="28">
        <f t="shared" si="51"/>
        <v>0</v>
      </c>
      <c r="T346" s="28"/>
      <c r="U346" s="28"/>
      <c r="V346" s="28">
        <f t="shared" si="52"/>
        <v>0</v>
      </c>
      <c r="W346" s="28"/>
      <c r="X346" s="28"/>
      <c r="Y346" s="28">
        <f t="shared" si="53"/>
        <v>0</v>
      </c>
      <c r="Z346" s="28">
        <v>637878</v>
      </c>
      <c r="AA346" s="28">
        <v>637878</v>
      </c>
      <c r="AB346" s="28">
        <f t="shared" si="54"/>
        <v>0</v>
      </c>
    </row>
    <row r="347" spans="1:28" s="22" customFormat="1" ht="47.25" x14ac:dyDescent="0.25">
      <c r="A347" s="24" t="s">
        <v>293</v>
      </c>
      <c r="B347" s="28">
        <f t="shared" si="46"/>
        <v>962148</v>
      </c>
      <c r="C347" s="28">
        <f t="shared" si="46"/>
        <v>962148</v>
      </c>
      <c r="D347" s="28">
        <f t="shared" si="46"/>
        <v>0</v>
      </c>
      <c r="E347" s="28"/>
      <c r="F347" s="28"/>
      <c r="G347" s="28">
        <f t="shared" si="47"/>
        <v>0</v>
      </c>
      <c r="H347" s="28"/>
      <c r="I347" s="28"/>
      <c r="J347" s="28">
        <f t="shared" si="48"/>
        <v>0</v>
      </c>
      <c r="K347" s="28"/>
      <c r="L347" s="28"/>
      <c r="M347" s="28">
        <f t="shared" si="49"/>
        <v>0</v>
      </c>
      <c r="N347" s="28"/>
      <c r="O347" s="28"/>
      <c r="P347" s="28">
        <f t="shared" si="50"/>
        <v>0</v>
      </c>
      <c r="Q347" s="28"/>
      <c r="R347" s="28"/>
      <c r="S347" s="28">
        <f t="shared" si="51"/>
        <v>0</v>
      </c>
      <c r="T347" s="28"/>
      <c r="U347" s="28"/>
      <c r="V347" s="28">
        <f t="shared" si="52"/>
        <v>0</v>
      </c>
      <c r="W347" s="28"/>
      <c r="X347" s="28"/>
      <c r="Y347" s="28">
        <f t="shared" si="53"/>
        <v>0</v>
      </c>
      <c r="Z347" s="28">
        <v>962148</v>
      </c>
      <c r="AA347" s="28">
        <v>962148</v>
      </c>
      <c r="AB347" s="28">
        <f t="shared" si="54"/>
        <v>0</v>
      </c>
    </row>
    <row r="348" spans="1:28" s="22" customFormat="1" ht="31.5" x14ac:dyDescent="0.25">
      <c r="A348" s="24" t="s">
        <v>294</v>
      </c>
      <c r="B348" s="28">
        <f t="shared" si="46"/>
        <v>1345782</v>
      </c>
      <c r="C348" s="28">
        <f t="shared" si="46"/>
        <v>1345782</v>
      </c>
      <c r="D348" s="28">
        <f t="shared" si="46"/>
        <v>0</v>
      </c>
      <c r="E348" s="28"/>
      <c r="F348" s="28"/>
      <c r="G348" s="28">
        <f t="shared" si="47"/>
        <v>0</v>
      </c>
      <c r="H348" s="28"/>
      <c r="I348" s="28"/>
      <c r="J348" s="28">
        <f t="shared" si="48"/>
        <v>0</v>
      </c>
      <c r="K348" s="28"/>
      <c r="L348" s="28"/>
      <c r="M348" s="28">
        <f t="shared" si="49"/>
        <v>0</v>
      </c>
      <c r="N348" s="28"/>
      <c r="O348" s="28"/>
      <c r="P348" s="28">
        <f t="shared" si="50"/>
        <v>0</v>
      </c>
      <c r="Q348" s="28"/>
      <c r="R348" s="28"/>
      <c r="S348" s="28">
        <f t="shared" si="51"/>
        <v>0</v>
      </c>
      <c r="T348" s="28"/>
      <c r="U348" s="28"/>
      <c r="V348" s="28">
        <f t="shared" si="52"/>
        <v>0</v>
      </c>
      <c r="W348" s="28">
        <v>35782</v>
      </c>
      <c r="X348" s="28">
        <v>35782</v>
      </c>
      <c r="Y348" s="28">
        <f t="shared" si="53"/>
        <v>0</v>
      </c>
      <c r="Z348" s="28">
        <v>1310000</v>
      </c>
      <c r="AA348" s="28">
        <v>1310000</v>
      </c>
      <c r="AB348" s="28">
        <f t="shared" si="54"/>
        <v>0</v>
      </c>
    </row>
    <row r="349" spans="1:28" s="22" customFormat="1" x14ac:dyDescent="0.25">
      <c r="A349" s="24" t="s">
        <v>295</v>
      </c>
      <c r="B349" s="28">
        <f t="shared" si="46"/>
        <v>200000</v>
      </c>
      <c r="C349" s="28">
        <f t="shared" si="46"/>
        <v>200000</v>
      </c>
      <c r="D349" s="28">
        <f t="shared" si="46"/>
        <v>0</v>
      </c>
      <c r="E349" s="28"/>
      <c r="F349" s="28"/>
      <c r="G349" s="28">
        <f t="shared" si="47"/>
        <v>0</v>
      </c>
      <c r="H349" s="28"/>
      <c r="I349" s="28"/>
      <c r="J349" s="28">
        <f t="shared" si="48"/>
        <v>0</v>
      </c>
      <c r="K349" s="28">
        <v>200000</v>
      </c>
      <c r="L349" s="28">
        <v>200000</v>
      </c>
      <c r="M349" s="28">
        <f t="shared" si="49"/>
        <v>0</v>
      </c>
      <c r="N349" s="28"/>
      <c r="O349" s="28"/>
      <c r="P349" s="28">
        <f t="shared" si="50"/>
        <v>0</v>
      </c>
      <c r="Q349" s="28"/>
      <c r="R349" s="28"/>
      <c r="S349" s="28">
        <f t="shared" si="51"/>
        <v>0</v>
      </c>
      <c r="T349" s="28"/>
      <c r="U349" s="28"/>
      <c r="V349" s="28">
        <f t="shared" si="52"/>
        <v>0</v>
      </c>
      <c r="W349" s="28"/>
      <c r="X349" s="28"/>
      <c r="Y349" s="28">
        <f t="shared" si="53"/>
        <v>0</v>
      </c>
      <c r="Z349" s="28"/>
      <c r="AA349" s="28"/>
      <c r="AB349" s="28">
        <f t="shared" si="54"/>
        <v>0</v>
      </c>
    </row>
    <row r="350" spans="1:28" s="22" customFormat="1" ht="78.75" x14ac:dyDescent="0.25">
      <c r="A350" s="24" t="s">
        <v>296</v>
      </c>
      <c r="B350" s="28">
        <f t="shared" si="46"/>
        <v>600000</v>
      </c>
      <c r="C350" s="28">
        <f t="shared" si="46"/>
        <v>600000</v>
      </c>
      <c r="D350" s="28">
        <f t="shared" si="46"/>
        <v>0</v>
      </c>
      <c r="E350" s="28">
        <f>350000-83000-177000</f>
        <v>90000</v>
      </c>
      <c r="F350" s="28">
        <f>350000-83000-177000-60017</f>
        <v>29983</v>
      </c>
      <c r="G350" s="28">
        <f t="shared" si="47"/>
        <v>-60017</v>
      </c>
      <c r="H350" s="28">
        <v>0</v>
      </c>
      <c r="I350" s="28">
        <f>60017</f>
        <v>60017</v>
      </c>
      <c r="J350" s="28">
        <f t="shared" si="48"/>
        <v>60017</v>
      </c>
      <c r="K350" s="28"/>
      <c r="L350" s="28"/>
      <c r="M350" s="28">
        <f t="shared" si="49"/>
        <v>0</v>
      </c>
      <c r="N350" s="28"/>
      <c r="O350" s="28"/>
      <c r="P350" s="28">
        <f t="shared" si="50"/>
        <v>0</v>
      </c>
      <c r="Q350" s="28"/>
      <c r="R350" s="28"/>
      <c r="S350" s="28">
        <f t="shared" si="51"/>
        <v>0</v>
      </c>
      <c r="T350" s="28"/>
      <c r="U350" s="28"/>
      <c r="V350" s="28">
        <f t="shared" si="52"/>
        <v>0</v>
      </c>
      <c r="W350" s="28"/>
      <c r="X350" s="28"/>
      <c r="Y350" s="28">
        <f t="shared" si="53"/>
        <v>0</v>
      </c>
      <c r="Z350" s="28">
        <f>250000+83000+177000</f>
        <v>510000</v>
      </c>
      <c r="AA350" s="28">
        <f>250000+83000+177000</f>
        <v>510000</v>
      </c>
      <c r="AB350" s="28">
        <f t="shared" si="54"/>
        <v>0</v>
      </c>
    </row>
    <row r="351" spans="1:28" s="22" customFormat="1" ht="47.25" x14ac:dyDescent="0.25">
      <c r="A351" s="27" t="s">
        <v>297</v>
      </c>
      <c r="B351" s="28">
        <f t="shared" si="46"/>
        <v>80000</v>
      </c>
      <c r="C351" s="28">
        <f t="shared" si="46"/>
        <v>80000</v>
      </c>
      <c r="D351" s="28">
        <f t="shared" si="46"/>
        <v>0</v>
      </c>
      <c r="E351" s="28"/>
      <c r="F351" s="28"/>
      <c r="G351" s="28">
        <f t="shared" si="47"/>
        <v>0</v>
      </c>
      <c r="H351" s="28"/>
      <c r="I351" s="28"/>
      <c r="J351" s="28">
        <f t="shared" si="48"/>
        <v>0</v>
      </c>
      <c r="K351" s="28"/>
      <c r="L351" s="28"/>
      <c r="M351" s="28">
        <f t="shared" si="49"/>
        <v>0</v>
      </c>
      <c r="N351" s="28"/>
      <c r="O351" s="28"/>
      <c r="P351" s="28">
        <f t="shared" si="50"/>
        <v>0</v>
      </c>
      <c r="Q351" s="28"/>
      <c r="R351" s="28"/>
      <c r="S351" s="28">
        <f t="shared" si="51"/>
        <v>0</v>
      </c>
      <c r="T351" s="28"/>
      <c r="U351" s="28"/>
      <c r="V351" s="28">
        <f t="shared" si="52"/>
        <v>0</v>
      </c>
      <c r="W351" s="28"/>
      <c r="X351" s="28"/>
      <c r="Y351" s="28">
        <f t="shared" si="53"/>
        <v>0</v>
      </c>
      <c r="Z351" s="28">
        <v>80000</v>
      </c>
      <c r="AA351" s="28">
        <v>80000</v>
      </c>
      <c r="AB351" s="28">
        <f t="shared" si="54"/>
        <v>0</v>
      </c>
    </row>
    <row r="352" spans="1:28" s="22" customFormat="1" x14ac:dyDescent="0.25">
      <c r="A352" s="27" t="s">
        <v>298</v>
      </c>
      <c r="B352" s="28">
        <f t="shared" si="46"/>
        <v>20000</v>
      </c>
      <c r="C352" s="28">
        <f t="shared" si="46"/>
        <v>20000</v>
      </c>
      <c r="D352" s="28">
        <f t="shared" si="46"/>
        <v>0</v>
      </c>
      <c r="E352" s="28"/>
      <c r="F352" s="28"/>
      <c r="G352" s="28">
        <f t="shared" si="47"/>
        <v>0</v>
      </c>
      <c r="H352" s="28"/>
      <c r="I352" s="28"/>
      <c r="J352" s="28">
        <f t="shared" si="48"/>
        <v>0</v>
      </c>
      <c r="K352" s="28"/>
      <c r="L352" s="28"/>
      <c r="M352" s="28">
        <f t="shared" si="49"/>
        <v>0</v>
      </c>
      <c r="N352" s="28"/>
      <c r="O352" s="28"/>
      <c r="P352" s="28">
        <f t="shared" si="50"/>
        <v>0</v>
      </c>
      <c r="Q352" s="28"/>
      <c r="R352" s="28"/>
      <c r="S352" s="28">
        <f t="shared" si="51"/>
        <v>0</v>
      </c>
      <c r="T352" s="28"/>
      <c r="U352" s="28"/>
      <c r="V352" s="28">
        <f t="shared" si="52"/>
        <v>0</v>
      </c>
      <c r="W352" s="28"/>
      <c r="X352" s="28"/>
      <c r="Y352" s="28">
        <f t="shared" si="53"/>
        <v>0</v>
      </c>
      <c r="Z352" s="28">
        <v>20000</v>
      </c>
      <c r="AA352" s="28">
        <v>20000</v>
      </c>
      <c r="AB352" s="28">
        <f t="shared" si="54"/>
        <v>0</v>
      </c>
    </row>
    <row r="353" spans="1:194" s="22" customFormat="1" ht="31.5" x14ac:dyDescent="0.25">
      <c r="A353" s="24" t="s">
        <v>299</v>
      </c>
      <c r="B353" s="28">
        <f t="shared" si="46"/>
        <v>38466</v>
      </c>
      <c r="C353" s="28">
        <f t="shared" si="46"/>
        <v>38466</v>
      </c>
      <c r="D353" s="28">
        <f t="shared" si="46"/>
        <v>0</v>
      </c>
      <c r="E353" s="28"/>
      <c r="F353" s="28"/>
      <c r="G353" s="28">
        <f t="shared" si="47"/>
        <v>0</v>
      </c>
      <c r="H353" s="28"/>
      <c r="I353" s="28"/>
      <c r="J353" s="28">
        <f t="shared" si="48"/>
        <v>0</v>
      </c>
      <c r="K353" s="28"/>
      <c r="L353" s="28"/>
      <c r="M353" s="28">
        <f t="shared" si="49"/>
        <v>0</v>
      </c>
      <c r="N353" s="28"/>
      <c r="O353" s="28"/>
      <c r="P353" s="28">
        <f t="shared" si="50"/>
        <v>0</v>
      </c>
      <c r="Q353" s="28"/>
      <c r="R353" s="28"/>
      <c r="S353" s="28">
        <f t="shared" si="51"/>
        <v>0</v>
      </c>
      <c r="T353" s="28"/>
      <c r="U353" s="28"/>
      <c r="V353" s="28">
        <f t="shared" si="52"/>
        <v>0</v>
      </c>
      <c r="W353" s="28"/>
      <c r="X353" s="28"/>
      <c r="Y353" s="28">
        <f t="shared" si="53"/>
        <v>0</v>
      </c>
      <c r="Z353" s="28">
        <v>38466</v>
      </c>
      <c r="AA353" s="28">
        <v>38466</v>
      </c>
      <c r="AB353" s="28">
        <f t="shared" si="54"/>
        <v>0</v>
      </c>
    </row>
    <row r="354" spans="1:194" s="22" customFormat="1" x14ac:dyDescent="0.25">
      <c r="A354" s="24" t="s">
        <v>300</v>
      </c>
      <c r="B354" s="28">
        <f t="shared" si="46"/>
        <v>31000</v>
      </c>
      <c r="C354" s="28">
        <f t="shared" si="46"/>
        <v>31000</v>
      </c>
      <c r="D354" s="28">
        <f t="shared" si="46"/>
        <v>0</v>
      </c>
      <c r="E354" s="28"/>
      <c r="F354" s="28"/>
      <c r="G354" s="28">
        <f t="shared" si="47"/>
        <v>0</v>
      </c>
      <c r="H354" s="28"/>
      <c r="I354" s="28"/>
      <c r="J354" s="28">
        <f t="shared" si="48"/>
        <v>0</v>
      </c>
      <c r="K354" s="28">
        <v>31000</v>
      </c>
      <c r="L354" s="28">
        <v>31000</v>
      </c>
      <c r="M354" s="28">
        <f t="shared" si="49"/>
        <v>0</v>
      </c>
      <c r="N354" s="28"/>
      <c r="O354" s="28"/>
      <c r="P354" s="28">
        <f t="shared" si="50"/>
        <v>0</v>
      </c>
      <c r="Q354" s="28"/>
      <c r="R354" s="28"/>
      <c r="S354" s="28">
        <f t="shared" si="51"/>
        <v>0</v>
      </c>
      <c r="T354" s="28"/>
      <c r="U354" s="28"/>
      <c r="V354" s="28">
        <f t="shared" si="52"/>
        <v>0</v>
      </c>
      <c r="W354" s="28"/>
      <c r="X354" s="28"/>
      <c r="Y354" s="28">
        <f t="shared" si="53"/>
        <v>0</v>
      </c>
      <c r="Z354" s="28"/>
      <c r="AA354" s="28"/>
      <c r="AB354" s="28">
        <f t="shared" si="54"/>
        <v>0</v>
      </c>
    </row>
    <row r="355" spans="1:194" s="22" customFormat="1" ht="31.5" x14ac:dyDescent="0.25">
      <c r="A355" s="24" t="s">
        <v>301</v>
      </c>
      <c r="B355" s="28">
        <f t="shared" si="46"/>
        <v>44100</v>
      </c>
      <c r="C355" s="28">
        <f t="shared" si="46"/>
        <v>44100</v>
      </c>
      <c r="D355" s="28">
        <f t="shared" si="46"/>
        <v>0</v>
      </c>
      <c r="E355" s="28"/>
      <c r="F355" s="28"/>
      <c r="G355" s="28">
        <f t="shared" si="47"/>
        <v>0</v>
      </c>
      <c r="H355" s="28"/>
      <c r="I355" s="28"/>
      <c r="J355" s="28">
        <f t="shared" si="48"/>
        <v>0</v>
      </c>
      <c r="K355" s="28"/>
      <c r="L355" s="28"/>
      <c r="M355" s="28">
        <f t="shared" si="49"/>
        <v>0</v>
      </c>
      <c r="N355" s="28"/>
      <c r="O355" s="28"/>
      <c r="P355" s="28">
        <f t="shared" si="50"/>
        <v>0</v>
      </c>
      <c r="Q355" s="28"/>
      <c r="R355" s="28"/>
      <c r="S355" s="28">
        <f t="shared" si="51"/>
        <v>0</v>
      </c>
      <c r="T355" s="28"/>
      <c r="U355" s="28"/>
      <c r="V355" s="28">
        <f t="shared" si="52"/>
        <v>0</v>
      </c>
      <c r="W355" s="28"/>
      <c r="X355" s="28"/>
      <c r="Y355" s="28">
        <f t="shared" si="53"/>
        <v>0</v>
      </c>
      <c r="Z355" s="28">
        <v>44100</v>
      </c>
      <c r="AA355" s="28">
        <v>44100</v>
      </c>
      <c r="AB355" s="28">
        <f t="shared" si="54"/>
        <v>0</v>
      </c>
    </row>
    <row r="356" spans="1:194" s="22" customFormat="1" ht="27.75" customHeight="1" x14ac:dyDescent="0.25">
      <c r="A356" s="24" t="s">
        <v>302</v>
      </c>
      <c r="B356" s="28">
        <f t="shared" si="46"/>
        <v>216645</v>
      </c>
      <c r="C356" s="28">
        <f t="shared" si="46"/>
        <v>261234</v>
      </c>
      <c r="D356" s="28">
        <f t="shared" si="46"/>
        <v>44589</v>
      </c>
      <c r="E356" s="28">
        <v>180000</v>
      </c>
      <c r="F356" s="28">
        <f>180000+44589</f>
        <v>224589</v>
      </c>
      <c r="G356" s="28">
        <f t="shared" si="47"/>
        <v>44589</v>
      </c>
      <c r="H356" s="28">
        <v>0</v>
      </c>
      <c r="I356" s="28">
        <f>36645</f>
        <v>36645</v>
      </c>
      <c r="J356" s="28">
        <f t="shared" si="48"/>
        <v>36645</v>
      </c>
      <c r="K356" s="28">
        <f>160000-160000+36645</f>
        <v>36645</v>
      </c>
      <c r="L356" s="28">
        <f>160000-160000+36645-36645</f>
        <v>0</v>
      </c>
      <c r="M356" s="28">
        <f t="shared" si="49"/>
        <v>-36645</v>
      </c>
      <c r="N356" s="28"/>
      <c r="O356" s="28"/>
      <c r="P356" s="28">
        <f t="shared" si="50"/>
        <v>0</v>
      </c>
      <c r="Q356" s="28"/>
      <c r="R356" s="28"/>
      <c r="S356" s="28">
        <f t="shared" si="51"/>
        <v>0</v>
      </c>
      <c r="T356" s="28"/>
      <c r="U356" s="28"/>
      <c r="V356" s="28">
        <f t="shared" si="52"/>
        <v>0</v>
      </c>
      <c r="W356" s="28"/>
      <c r="X356" s="28"/>
      <c r="Y356" s="28">
        <f t="shared" si="53"/>
        <v>0</v>
      </c>
      <c r="Z356" s="28"/>
      <c r="AA356" s="28"/>
      <c r="AB356" s="28">
        <f t="shared" si="54"/>
        <v>0</v>
      </c>
    </row>
    <row r="357" spans="1:194" s="22" customFormat="1" x14ac:dyDescent="0.25">
      <c r="A357" s="24" t="s">
        <v>303</v>
      </c>
      <c r="B357" s="28">
        <f t="shared" si="46"/>
        <v>200905</v>
      </c>
      <c r="C357" s="28">
        <f t="shared" si="46"/>
        <v>200905</v>
      </c>
      <c r="D357" s="28">
        <f t="shared" si="46"/>
        <v>0</v>
      </c>
      <c r="E357" s="28"/>
      <c r="F357" s="28"/>
      <c r="G357" s="28">
        <f t="shared" si="47"/>
        <v>0</v>
      </c>
      <c r="H357" s="28">
        <f>0</f>
        <v>0</v>
      </c>
      <c r="I357" s="28">
        <f>167294</f>
        <v>167294</v>
      </c>
      <c r="J357" s="28">
        <f t="shared" si="48"/>
        <v>167294</v>
      </c>
      <c r="K357" s="28">
        <v>184474</v>
      </c>
      <c r="L357" s="28">
        <f>184474-167294</f>
        <v>17180</v>
      </c>
      <c r="M357" s="28">
        <f t="shared" si="49"/>
        <v>-167294</v>
      </c>
      <c r="N357" s="28"/>
      <c r="O357" s="28"/>
      <c r="P357" s="28">
        <f t="shared" si="50"/>
        <v>0</v>
      </c>
      <c r="Q357" s="28"/>
      <c r="R357" s="28"/>
      <c r="S357" s="28">
        <f t="shared" si="51"/>
        <v>0</v>
      </c>
      <c r="T357" s="28"/>
      <c r="U357" s="28"/>
      <c r="V357" s="28">
        <f t="shared" si="52"/>
        <v>0</v>
      </c>
      <c r="W357" s="28">
        <v>16431</v>
      </c>
      <c r="X357" s="28">
        <v>16431</v>
      </c>
      <c r="Y357" s="28">
        <f t="shared" si="53"/>
        <v>0</v>
      </c>
      <c r="Z357" s="28"/>
      <c r="AA357" s="28"/>
      <c r="AB357" s="28">
        <f t="shared" si="54"/>
        <v>0</v>
      </c>
    </row>
    <row r="358" spans="1:194" s="22" customFormat="1" ht="78.75" x14ac:dyDescent="0.25">
      <c r="A358" s="24" t="s">
        <v>304</v>
      </c>
      <c r="B358" s="28">
        <f t="shared" si="46"/>
        <v>3637788</v>
      </c>
      <c r="C358" s="28">
        <f t="shared" si="46"/>
        <v>3637788</v>
      </c>
      <c r="D358" s="28">
        <f t="shared" si="46"/>
        <v>0</v>
      </c>
      <c r="E358" s="28"/>
      <c r="F358" s="28"/>
      <c r="G358" s="28">
        <f t="shared" si="47"/>
        <v>0</v>
      </c>
      <c r="H358" s="28"/>
      <c r="I358" s="28"/>
      <c r="J358" s="28">
        <f t="shared" si="48"/>
        <v>0</v>
      </c>
      <c r="K358" s="28"/>
      <c r="L358" s="28"/>
      <c r="M358" s="28">
        <f t="shared" si="49"/>
        <v>0</v>
      </c>
      <c r="N358" s="28"/>
      <c r="O358" s="28"/>
      <c r="P358" s="28">
        <f t="shared" si="50"/>
        <v>0</v>
      </c>
      <c r="Q358" s="28"/>
      <c r="R358" s="28"/>
      <c r="S358" s="28">
        <f t="shared" si="51"/>
        <v>0</v>
      </c>
      <c r="T358" s="28"/>
      <c r="U358" s="28"/>
      <c r="V358" s="28">
        <f t="shared" si="52"/>
        <v>0</v>
      </c>
      <c r="W358" s="28"/>
      <c r="X358" s="28"/>
      <c r="Y358" s="28">
        <f t="shared" si="53"/>
        <v>0</v>
      </c>
      <c r="Z358" s="28">
        <v>3637788</v>
      </c>
      <c r="AA358" s="28">
        <v>3637788</v>
      </c>
      <c r="AB358" s="28">
        <f t="shared" si="54"/>
        <v>0</v>
      </c>
    </row>
    <row r="359" spans="1:194" s="22" customFormat="1" ht="31.5" x14ac:dyDescent="0.25">
      <c r="A359" s="24" t="s">
        <v>305</v>
      </c>
      <c r="B359" s="28">
        <f t="shared" si="46"/>
        <v>37562</v>
      </c>
      <c r="C359" s="28">
        <f t="shared" si="46"/>
        <v>37562</v>
      </c>
      <c r="D359" s="28">
        <f t="shared" si="46"/>
        <v>0</v>
      </c>
      <c r="E359" s="28"/>
      <c r="F359" s="28"/>
      <c r="G359" s="28">
        <f t="shared" si="47"/>
        <v>0</v>
      </c>
      <c r="H359" s="28"/>
      <c r="I359" s="28"/>
      <c r="J359" s="28">
        <f t="shared" si="48"/>
        <v>0</v>
      </c>
      <c r="K359" s="28"/>
      <c r="L359" s="28"/>
      <c r="M359" s="28">
        <f t="shared" si="49"/>
        <v>0</v>
      </c>
      <c r="N359" s="28"/>
      <c r="O359" s="28"/>
      <c r="P359" s="28">
        <f t="shared" si="50"/>
        <v>0</v>
      </c>
      <c r="Q359" s="28"/>
      <c r="R359" s="28"/>
      <c r="S359" s="28">
        <f t="shared" si="51"/>
        <v>0</v>
      </c>
      <c r="T359" s="28"/>
      <c r="U359" s="28"/>
      <c r="V359" s="28">
        <f t="shared" si="52"/>
        <v>0</v>
      </c>
      <c r="W359" s="28"/>
      <c r="X359" s="28"/>
      <c r="Y359" s="28">
        <f t="shared" si="53"/>
        <v>0</v>
      </c>
      <c r="Z359" s="28">
        <v>37562</v>
      </c>
      <c r="AA359" s="28">
        <v>37562</v>
      </c>
      <c r="AB359" s="28">
        <f t="shared" si="54"/>
        <v>0</v>
      </c>
    </row>
    <row r="360" spans="1:194" s="22" customFormat="1" ht="47.25" x14ac:dyDescent="0.25">
      <c r="A360" s="27" t="s">
        <v>306</v>
      </c>
      <c r="B360" s="28">
        <f t="shared" si="46"/>
        <v>100000</v>
      </c>
      <c r="C360" s="28">
        <f t="shared" si="46"/>
        <v>100000</v>
      </c>
      <c r="D360" s="28">
        <f t="shared" si="46"/>
        <v>0</v>
      </c>
      <c r="E360" s="28"/>
      <c r="F360" s="28"/>
      <c r="G360" s="28">
        <f t="shared" si="47"/>
        <v>0</v>
      </c>
      <c r="H360" s="28"/>
      <c r="I360" s="28"/>
      <c r="J360" s="28">
        <f t="shared" si="48"/>
        <v>0</v>
      </c>
      <c r="K360" s="28"/>
      <c r="L360" s="28"/>
      <c r="M360" s="28">
        <f t="shared" si="49"/>
        <v>0</v>
      </c>
      <c r="N360" s="28"/>
      <c r="O360" s="28"/>
      <c r="P360" s="28">
        <f t="shared" si="50"/>
        <v>0</v>
      </c>
      <c r="Q360" s="28"/>
      <c r="R360" s="28"/>
      <c r="S360" s="28">
        <f t="shared" si="51"/>
        <v>0</v>
      </c>
      <c r="T360" s="28"/>
      <c r="U360" s="28"/>
      <c r="V360" s="28">
        <f t="shared" si="52"/>
        <v>0</v>
      </c>
      <c r="W360" s="28"/>
      <c r="X360" s="28"/>
      <c r="Y360" s="28">
        <f t="shared" si="53"/>
        <v>0</v>
      </c>
      <c r="Z360" s="28">
        <v>100000</v>
      </c>
      <c r="AA360" s="28">
        <v>100000</v>
      </c>
      <c r="AB360" s="28">
        <f t="shared" si="54"/>
        <v>0</v>
      </c>
    </row>
    <row r="361" spans="1:194" s="22" customFormat="1" ht="47.25" x14ac:dyDescent="0.25">
      <c r="A361" s="37" t="s">
        <v>307</v>
      </c>
      <c r="B361" s="28">
        <f t="shared" si="46"/>
        <v>29298</v>
      </c>
      <c r="C361" s="28">
        <f t="shared" si="46"/>
        <v>29298</v>
      </c>
      <c r="D361" s="28">
        <f t="shared" si="46"/>
        <v>0</v>
      </c>
      <c r="E361" s="28"/>
      <c r="F361" s="28"/>
      <c r="G361" s="28">
        <f t="shared" si="47"/>
        <v>0</v>
      </c>
      <c r="H361" s="28">
        <v>13320</v>
      </c>
      <c r="I361" s="28">
        <v>13320</v>
      </c>
      <c r="J361" s="28">
        <f t="shared" si="48"/>
        <v>0</v>
      </c>
      <c r="K361" s="28">
        <v>15978</v>
      </c>
      <c r="L361" s="28">
        <v>15978</v>
      </c>
      <c r="M361" s="28">
        <f t="shared" si="49"/>
        <v>0</v>
      </c>
      <c r="N361" s="28"/>
      <c r="O361" s="28"/>
      <c r="P361" s="28">
        <f t="shared" si="50"/>
        <v>0</v>
      </c>
      <c r="Q361" s="28"/>
      <c r="R361" s="28"/>
      <c r="S361" s="28">
        <f t="shared" si="51"/>
        <v>0</v>
      </c>
      <c r="T361" s="28"/>
      <c r="U361" s="28"/>
      <c r="V361" s="28">
        <f t="shared" si="52"/>
        <v>0</v>
      </c>
      <c r="W361" s="28"/>
      <c r="X361" s="28"/>
      <c r="Y361" s="28">
        <f t="shared" si="53"/>
        <v>0</v>
      </c>
      <c r="Z361" s="28"/>
      <c r="AA361" s="28"/>
      <c r="AB361" s="28">
        <f t="shared" si="54"/>
        <v>0</v>
      </c>
    </row>
    <row r="362" spans="1:194" s="22" customFormat="1" ht="31.5" x14ac:dyDescent="0.25">
      <c r="A362" s="27" t="s">
        <v>308</v>
      </c>
      <c r="B362" s="28">
        <f t="shared" si="46"/>
        <v>261500</v>
      </c>
      <c r="C362" s="28">
        <f t="shared" si="46"/>
        <v>261500</v>
      </c>
      <c r="D362" s="28">
        <f t="shared" si="46"/>
        <v>0</v>
      </c>
      <c r="E362" s="28">
        <f>130000+126442+5058</f>
        <v>261500</v>
      </c>
      <c r="F362" s="28">
        <f>130000+126442+5058-215301</f>
        <v>46199</v>
      </c>
      <c r="G362" s="28">
        <f t="shared" si="47"/>
        <v>-215301</v>
      </c>
      <c r="H362" s="28"/>
      <c r="I362" s="28"/>
      <c r="J362" s="28">
        <f t="shared" si="48"/>
        <v>0</v>
      </c>
      <c r="K362" s="28"/>
      <c r="L362" s="28"/>
      <c r="M362" s="28">
        <f t="shared" si="49"/>
        <v>0</v>
      </c>
      <c r="N362" s="28"/>
      <c r="O362" s="28"/>
      <c r="P362" s="28">
        <f t="shared" si="50"/>
        <v>0</v>
      </c>
      <c r="Q362" s="28"/>
      <c r="R362" s="28"/>
      <c r="S362" s="28">
        <f t="shared" si="51"/>
        <v>0</v>
      </c>
      <c r="T362" s="28"/>
      <c r="U362" s="28"/>
      <c r="V362" s="28">
        <f t="shared" si="52"/>
        <v>0</v>
      </c>
      <c r="W362" s="28"/>
      <c r="X362" s="28"/>
      <c r="Y362" s="28">
        <f t="shared" si="53"/>
        <v>0</v>
      </c>
      <c r="Z362" s="28">
        <f>90000-90000</f>
        <v>0</v>
      </c>
      <c r="AA362" s="28">
        <f>90000-90000+215301</f>
        <v>215301</v>
      </c>
      <c r="AB362" s="28">
        <f t="shared" si="54"/>
        <v>215301</v>
      </c>
    </row>
    <row r="363" spans="1:194" s="22" customFormat="1" ht="47.25" x14ac:dyDescent="0.25">
      <c r="A363" s="27" t="s">
        <v>309</v>
      </c>
      <c r="B363" s="28">
        <f t="shared" si="46"/>
        <v>16000</v>
      </c>
      <c r="C363" s="28">
        <f t="shared" si="46"/>
        <v>16000</v>
      </c>
      <c r="D363" s="28">
        <f t="shared" si="46"/>
        <v>0</v>
      </c>
      <c r="E363" s="28"/>
      <c r="F363" s="28"/>
      <c r="G363" s="28">
        <f t="shared" si="47"/>
        <v>0</v>
      </c>
      <c r="H363" s="28"/>
      <c r="I363" s="28"/>
      <c r="J363" s="28">
        <f t="shared" si="48"/>
        <v>0</v>
      </c>
      <c r="K363" s="28">
        <v>1309</v>
      </c>
      <c r="L363" s="28">
        <v>1309</v>
      </c>
      <c r="M363" s="28">
        <f t="shared" si="49"/>
        <v>0</v>
      </c>
      <c r="N363" s="28"/>
      <c r="O363" s="28"/>
      <c r="P363" s="28">
        <f t="shared" si="50"/>
        <v>0</v>
      </c>
      <c r="Q363" s="28"/>
      <c r="R363" s="28"/>
      <c r="S363" s="28">
        <f t="shared" si="51"/>
        <v>0</v>
      </c>
      <c r="T363" s="28"/>
      <c r="U363" s="28"/>
      <c r="V363" s="28">
        <f t="shared" si="52"/>
        <v>0</v>
      </c>
      <c r="W363" s="28">
        <f>14691</f>
        <v>14691</v>
      </c>
      <c r="X363" s="28">
        <f>14691</f>
        <v>14691</v>
      </c>
      <c r="Y363" s="28">
        <f t="shared" si="53"/>
        <v>0</v>
      </c>
      <c r="Z363" s="28"/>
      <c r="AA363" s="28"/>
      <c r="AB363" s="28">
        <f t="shared" si="54"/>
        <v>0</v>
      </c>
    </row>
    <row r="364" spans="1:194" s="22" customFormat="1" x14ac:dyDescent="0.25">
      <c r="A364" s="34" t="s">
        <v>184</v>
      </c>
      <c r="B364" s="23">
        <f t="shared" si="46"/>
        <v>9090</v>
      </c>
      <c r="C364" s="23">
        <f t="shared" si="46"/>
        <v>9090</v>
      </c>
      <c r="D364" s="23">
        <f t="shared" si="46"/>
        <v>0</v>
      </c>
      <c r="E364" s="23">
        <f>SUM(E365:E365)</f>
        <v>0</v>
      </c>
      <c r="F364" s="23">
        <f>SUM(F365:F365)</f>
        <v>0</v>
      </c>
      <c r="G364" s="23">
        <f t="shared" si="47"/>
        <v>0</v>
      </c>
      <c r="H364" s="23">
        <f>SUM(H365:H365)</f>
        <v>0</v>
      </c>
      <c r="I364" s="23">
        <f>SUM(I365:I365)</f>
        <v>0</v>
      </c>
      <c r="J364" s="23">
        <f t="shared" si="48"/>
        <v>0</v>
      </c>
      <c r="K364" s="23">
        <f>SUM(K365:K365)</f>
        <v>9090</v>
      </c>
      <c r="L364" s="23">
        <f>SUM(L365:L365)</f>
        <v>9090</v>
      </c>
      <c r="M364" s="23">
        <f t="shared" si="49"/>
        <v>0</v>
      </c>
      <c r="N364" s="23">
        <f>SUM(N365:N365)</f>
        <v>0</v>
      </c>
      <c r="O364" s="23">
        <f>SUM(O365:O365)</f>
        <v>0</v>
      </c>
      <c r="P364" s="23">
        <f t="shared" si="50"/>
        <v>0</v>
      </c>
      <c r="Q364" s="23">
        <f>SUM(Q365:Q365)</f>
        <v>0</v>
      </c>
      <c r="R364" s="23">
        <f>SUM(R365:R365)</f>
        <v>0</v>
      </c>
      <c r="S364" s="23">
        <f t="shared" si="51"/>
        <v>0</v>
      </c>
      <c r="T364" s="23">
        <f>SUM(T365:T365)</f>
        <v>0</v>
      </c>
      <c r="U364" s="23">
        <f>SUM(U365:U365)</f>
        <v>0</v>
      </c>
      <c r="V364" s="23">
        <f t="shared" si="52"/>
        <v>0</v>
      </c>
      <c r="W364" s="23">
        <f>SUM(W365:W365)</f>
        <v>0</v>
      </c>
      <c r="X364" s="23">
        <f>SUM(X365:X365)</f>
        <v>0</v>
      </c>
      <c r="Y364" s="23">
        <f t="shared" si="53"/>
        <v>0</v>
      </c>
      <c r="Z364" s="23">
        <f>SUM(Z365:Z365)</f>
        <v>0</v>
      </c>
      <c r="AA364" s="23">
        <f>SUM(AA365:AA365)</f>
        <v>0</v>
      </c>
      <c r="AB364" s="23">
        <f t="shared" si="54"/>
        <v>0</v>
      </c>
    </row>
    <row r="365" spans="1:194" s="22" customFormat="1" ht="47.25" x14ac:dyDescent="0.25">
      <c r="A365" s="27" t="s">
        <v>310</v>
      </c>
      <c r="B365" s="28">
        <f t="shared" ref="B365:D432" si="55">E365+H365+K365+N365+Q365+T365+W365+Z365</f>
        <v>9090</v>
      </c>
      <c r="C365" s="28">
        <f t="shared" si="55"/>
        <v>9090</v>
      </c>
      <c r="D365" s="28">
        <f t="shared" si="55"/>
        <v>0</v>
      </c>
      <c r="E365" s="28"/>
      <c r="F365" s="28"/>
      <c r="G365" s="28">
        <f t="shared" ref="G365:G432" si="56">F365-E365</f>
        <v>0</v>
      </c>
      <c r="H365" s="28"/>
      <c r="I365" s="28"/>
      <c r="J365" s="28">
        <f t="shared" ref="J365:J432" si="57">I365-H365</f>
        <v>0</v>
      </c>
      <c r="K365" s="28">
        <v>9090</v>
      </c>
      <c r="L365" s="28">
        <v>9090</v>
      </c>
      <c r="M365" s="28">
        <f t="shared" ref="M365:M432" si="58">L365-K365</f>
        <v>0</v>
      </c>
      <c r="N365" s="28"/>
      <c r="O365" s="28"/>
      <c r="P365" s="28">
        <f t="shared" ref="P365:P432" si="59">O365-N365</f>
        <v>0</v>
      </c>
      <c r="Q365" s="28"/>
      <c r="R365" s="28"/>
      <c r="S365" s="28">
        <f t="shared" ref="S365:S432" si="60">R365-Q365</f>
        <v>0</v>
      </c>
      <c r="T365" s="28"/>
      <c r="U365" s="28"/>
      <c r="V365" s="28">
        <f t="shared" ref="V365:V432" si="61">U365-T365</f>
        <v>0</v>
      </c>
      <c r="W365" s="28"/>
      <c r="X365" s="28"/>
      <c r="Y365" s="28">
        <f t="shared" ref="Y365:Y432" si="62">X365-W365</f>
        <v>0</v>
      </c>
      <c r="Z365" s="28"/>
      <c r="AA365" s="28"/>
      <c r="AB365" s="28">
        <f t="shared" ref="AB365:AB432" si="63">AA365-Z365</f>
        <v>0</v>
      </c>
      <c r="FS365" s="21"/>
      <c r="FT365" s="21"/>
      <c r="FU365" s="21"/>
      <c r="FV365" s="21"/>
      <c r="FW365" s="21"/>
      <c r="FX365" s="21"/>
      <c r="FY365" s="21"/>
      <c r="FZ365" s="21"/>
      <c r="GA365" s="21"/>
      <c r="GB365" s="21"/>
      <c r="GC365" s="21"/>
      <c r="GD365" s="21"/>
      <c r="GE365" s="21"/>
      <c r="GF365" s="21"/>
      <c r="GG365" s="21"/>
      <c r="GH365" s="21"/>
      <c r="GI365" s="21"/>
      <c r="GJ365" s="21"/>
      <c r="GK365" s="21"/>
      <c r="GL365" s="21"/>
    </row>
    <row r="366" spans="1:194" s="22" customFormat="1" x14ac:dyDescent="0.25">
      <c r="A366" s="19" t="s">
        <v>148</v>
      </c>
      <c r="B366" s="20">
        <f t="shared" si="55"/>
        <v>557435</v>
      </c>
      <c r="C366" s="20">
        <f t="shared" si="55"/>
        <v>556964</v>
      </c>
      <c r="D366" s="20">
        <f t="shared" si="55"/>
        <v>-471</v>
      </c>
      <c r="E366" s="20">
        <f>SUM(E375,E377,E394,E385,E399,E388,E367)</f>
        <v>0</v>
      </c>
      <c r="F366" s="20">
        <f>SUM(F375,F377,F394,F385,F399,F388,F367)</f>
        <v>58321</v>
      </c>
      <c r="G366" s="20">
        <f t="shared" si="56"/>
        <v>58321</v>
      </c>
      <c r="H366" s="20">
        <f>SUM(H375,H377,H394,H385,H399,H388,H367)</f>
        <v>0</v>
      </c>
      <c r="I366" s="20">
        <f>SUM(I375,I377,I394,I385,I399,I388,I367)</f>
        <v>0</v>
      </c>
      <c r="J366" s="20">
        <f t="shared" si="57"/>
        <v>0</v>
      </c>
      <c r="K366" s="20">
        <f>SUM(K375,K377,K394,K385,K399,K388,K367)</f>
        <v>416976</v>
      </c>
      <c r="L366" s="20">
        <f>SUM(L375,L377,L394,L385,L399,L388,L367)</f>
        <v>358184</v>
      </c>
      <c r="M366" s="20">
        <f t="shared" si="58"/>
        <v>-58792</v>
      </c>
      <c r="N366" s="20">
        <f>SUM(N375,N377,N394,N385,N399,N388,N367)</f>
        <v>8270</v>
      </c>
      <c r="O366" s="20">
        <f>SUM(O375,O377,O394,O385,O399,O388,O367)</f>
        <v>8270</v>
      </c>
      <c r="P366" s="20">
        <f t="shared" si="59"/>
        <v>0</v>
      </c>
      <c r="Q366" s="20">
        <f>SUM(Q375,Q377,Q394,Q385,Q399,Q388,Q367)</f>
        <v>0</v>
      </c>
      <c r="R366" s="20">
        <f>SUM(R375,R377,R394,R385,R399,R388,R367)</f>
        <v>0</v>
      </c>
      <c r="S366" s="20">
        <f t="shared" si="60"/>
        <v>0</v>
      </c>
      <c r="T366" s="20">
        <f>SUM(T375,T377,T394,T385,T399,T388,T367)</f>
        <v>39522</v>
      </c>
      <c r="U366" s="20">
        <f>SUM(U375,U377,U394,U385,U399,U388,U367)</f>
        <v>39522</v>
      </c>
      <c r="V366" s="20">
        <f t="shared" si="61"/>
        <v>0</v>
      </c>
      <c r="W366" s="20">
        <f>SUM(W375,W377,W394,W385,W399,W388,W367)</f>
        <v>0</v>
      </c>
      <c r="X366" s="20">
        <f>SUM(X375,X377,X394,X385,X399,X388,X367)</f>
        <v>0</v>
      </c>
      <c r="Y366" s="20">
        <f t="shared" si="62"/>
        <v>0</v>
      </c>
      <c r="Z366" s="20">
        <f>SUM(Z375,Z377,Z394,Z385,Z399,Z388,Z367)</f>
        <v>92667</v>
      </c>
      <c r="AA366" s="20">
        <f>SUM(AA375,AA377,AA394,AA385,AA399,AA388,AA367)</f>
        <v>92667</v>
      </c>
      <c r="AB366" s="20">
        <f t="shared" si="63"/>
        <v>0</v>
      </c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1"/>
      <c r="BR366" s="21"/>
      <c r="BS366" s="21"/>
      <c r="BT366" s="21"/>
      <c r="BU366" s="21"/>
      <c r="BV366" s="21"/>
      <c r="BW366" s="21"/>
      <c r="BX366" s="21"/>
      <c r="BY366" s="21"/>
      <c r="BZ366" s="21"/>
      <c r="CA366" s="21"/>
      <c r="CB366" s="21"/>
      <c r="CC366" s="21"/>
      <c r="CD366" s="21"/>
      <c r="CE366" s="21"/>
      <c r="CF366" s="21"/>
      <c r="CG366" s="21"/>
      <c r="CH366" s="21"/>
      <c r="CI366" s="21"/>
      <c r="CJ366" s="21"/>
      <c r="CK366" s="21"/>
      <c r="CL366" s="21"/>
      <c r="CM366" s="21"/>
      <c r="CN366" s="21"/>
      <c r="CO366" s="21"/>
      <c r="CP366" s="21"/>
      <c r="CQ366" s="21"/>
      <c r="CR366" s="21"/>
      <c r="CS366" s="21"/>
      <c r="CT366" s="21"/>
      <c r="CU366" s="21"/>
      <c r="CV366" s="21"/>
      <c r="CW366" s="21"/>
      <c r="CX366" s="21"/>
      <c r="CY366" s="21"/>
      <c r="CZ366" s="21"/>
      <c r="DA366" s="21"/>
      <c r="DB366" s="21"/>
      <c r="DC366" s="21"/>
      <c r="DD366" s="21"/>
      <c r="DE366" s="21"/>
      <c r="DF366" s="21"/>
      <c r="DG366" s="21"/>
      <c r="DH366" s="21"/>
      <c r="DI366" s="21"/>
      <c r="DJ366" s="21"/>
      <c r="DK366" s="21"/>
      <c r="DL366" s="21"/>
      <c r="DM366" s="21"/>
      <c r="DN366" s="21"/>
      <c r="DO366" s="21"/>
      <c r="DP366" s="21"/>
      <c r="DQ366" s="21"/>
      <c r="DR366" s="21"/>
      <c r="DS366" s="21"/>
      <c r="DT366" s="21"/>
      <c r="DU366" s="21"/>
      <c r="DV366" s="21"/>
      <c r="DW366" s="21"/>
      <c r="DX366" s="21"/>
      <c r="DY366" s="21"/>
      <c r="DZ366" s="21"/>
      <c r="EA366" s="21"/>
      <c r="EB366" s="21"/>
      <c r="EC366" s="21"/>
      <c r="ED366" s="21"/>
      <c r="EE366" s="21"/>
      <c r="EF366" s="21"/>
      <c r="EG366" s="21"/>
      <c r="EH366" s="21"/>
      <c r="EI366" s="21"/>
      <c r="EJ366" s="21"/>
      <c r="EK366" s="21"/>
      <c r="EL366" s="21"/>
      <c r="EM366" s="21"/>
      <c r="EN366" s="21"/>
      <c r="EO366" s="21"/>
      <c r="EP366" s="21"/>
      <c r="EQ366" s="21"/>
      <c r="ER366" s="21"/>
      <c r="ES366" s="21"/>
      <c r="ET366" s="21"/>
      <c r="EU366" s="21"/>
      <c r="EV366" s="21"/>
      <c r="EW366" s="21"/>
      <c r="EX366" s="21"/>
      <c r="EY366" s="21"/>
      <c r="EZ366" s="21"/>
      <c r="FA366" s="21"/>
      <c r="FB366" s="21"/>
      <c r="FC366" s="21"/>
      <c r="FD366" s="21"/>
      <c r="FE366" s="21"/>
      <c r="FF366" s="21"/>
      <c r="FG366" s="21"/>
      <c r="FH366" s="21"/>
      <c r="FI366" s="21"/>
      <c r="FJ366" s="21"/>
      <c r="FK366" s="21"/>
      <c r="FL366" s="21"/>
      <c r="FM366" s="21"/>
      <c r="FN366" s="21"/>
      <c r="FO366" s="21"/>
      <c r="FP366" s="21"/>
      <c r="FQ366" s="21"/>
      <c r="FR366" s="21"/>
      <c r="FS366" s="21"/>
      <c r="FT366" s="21"/>
      <c r="FU366" s="21"/>
      <c r="FV366" s="21"/>
      <c r="FW366" s="21"/>
      <c r="FX366" s="21"/>
      <c r="FY366" s="21"/>
      <c r="FZ366" s="21"/>
      <c r="GA366" s="21"/>
      <c r="GB366" s="21"/>
      <c r="GC366" s="21"/>
      <c r="GD366" s="21"/>
      <c r="GE366" s="21"/>
      <c r="GF366" s="21"/>
      <c r="GG366" s="21"/>
      <c r="GH366" s="21"/>
      <c r="GI366" s="21"/>
      <c r="GJ366" s="21"/>
      <c r="GK366" s="21"/>
      <c r="GL366" s="21"/>
    </row>
    <row r="367" spans="1:194" s="22" customFormat="1" x14ac:dyDescent="0.25">
      <c r="A367" s="19" t="s">
        <v>168</v>
      </c>
      <c r="B367" s="20">
        <f t="shared" si="55"/>
        <v>67321</v>
      </c>
      <c r="C367" s="20">
        <f t="shared" si="55"/>
        <v>64370</v>
      </c>
      <c r="D367" s="20">
        <f t="shared" si="55"/>
        <v>-2951</v>
      </c>
      <c r="E367" s="20">
        <f>SUM(E368:E374)</f>
        <v>0</v>
      </c>
      <c r="F367" s="20">
        <f>SUM(F368:F374)</f>
        <v>53359</v>
      </c>
      <c r="G367" s="20">
        <f t="shared" si="56"/>
        <v>53359</v>
      </c>
      <c r="H367" s="20">
        <f>SUM(H368:H374)</f>
        <v>0</v>
      </c>
      <c r="I367" s="20">
        <f>SUM(I368:I374)</f>
        <v>0</v>
      </c>
      <c r="J367" s="20">
        <f t="shared" si="57"/>
        <v>0</v>
      </c>
      <c r="K367" s="20">
        <f>SUM(K368:K374)</f>
        <v>62671</v>
      </c>
      <c r="L367" s="20">
        <f>SUM(L368:L374)</f>
        <v>8671</v>
      </c>
      <c r="M367" s="20">
        <f t="shared" si="58"/>
        <v>-54000</v>
      </c>
      <c r="N367" s="20">
        <f>SUM(N368:N374)</f>
        <v>4650</v>
      </c>
      <c r="O367" s="20">
        <f>SUM(O368:O374)</f>
        <v>2340</v>
      </c>
      <c r="P367" s="20">
        <f t="shared" si="59"/>
        <v>-2310</v>
      </c>
      <c r="Q367" s="20">
        <f>SUM(Q368:Q374)</f>
        <v>0</v>
      </c>
      <c r="R367" s="20">
        <f>SUM(R368:R374)</f>
        <v>0</v>
      </c>
      <c r="S367" s="20">
        <f t="shared" si="60"/>
        <v>0</v>
      </c>
      <c r="T367" s="20">
        <f>SUM(T368:T374)</f>
        <v>0</v>
      </c>
      <c r="U367" s="20">
        <f>SUM(U368:U374)</f>
        <v>0</v>
      </c>
      <c r="V367" s="20">
        <f t="shared" si="61"/>
        <v>0</v>
      </c>
      <c r="W367" s="20">
        <f>SUM(W368:W374)</f>
        <v>0</v>
      </c>
      <c r="X367" s="20">
        <f>SUM(X368:X374)</f>
        <v>0</v>
      </c>
      <c r="Y367" s="20">
        <f t="shared" si="62"/>
        <v>0</v>
      </c>
      <c r="Z367" s="20">
        <f>SUM(Z368:Z374)</f>
        <v>0</v>
      </c>
      <c r="AA367" s="20">
        <f>SUM(AA368:AA374)</f>
        <v>0</v>
      </c>
      <c r="AB367" s="20">
        <f t="shared" si="63"/>
        <v>0</v>
      </c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  <c r="BQ367" s="21"/>
      <c r="BR367" s="21"/>
      <c r="BS367" s="21"/>
      <c r="BT367" s="21"/>
      <c r="BU367" s="21"/>
      <c r="BV367" s="21"/>
      <c r="BW367" s="21"/>
      <c r="BX367" s="21"/>
      <c r="BY367" s="21"/>
      <c r="BZ367" s="21"/>
      <c r="CA367" s="21"/>
      <c r="CB367" s="21"/>
      <c r="CC367" s="21"/>
      <c r="CD367" s="21"/>
      <c r="CE367" s="21"/>
      <c r="CF367" s="21"/>
      <c r="CG367" s="21"/>
      <c r="CH367" s="21"/>
      <c r="CI367" s="21"/>
      <c r="CJ367" s="21"/>
      <c r="CK367" s="21"/>
      <c r="CL367" s="21"/>
      <c r="CM367" s="21"/>
      <c r="CN367" s="21"/>
      <c r="CO367" s="21"/>
      <c r="CP367" s="21"/>
      <c r="CQ367" s="21"/>
      <c r="CR367" s="21"/>
      <c r="CS367" s="21"/>
      <c r="CT367" s="21"/>
      <c r="CU367" s="21"/>
      <c r="CV367" s="21"/>
      <c r="CW367" s="21"/>
      <c r="CX367" s="21"/>
      <c r="CY367" s="21"/>
      <c r="CZ367" s="21"/>
      <c r="DA367" s="21"/>
      <c r="DB367" s="21"/>
      <c r="DC367" s="21"/>
      <c r="DD367" s="21"/>
      <c r="DE367" s="21"/>
      <c r="DF367" s="21"/>
      <c r="DG367" s="21"/>
      <c r="DH367" s="21"/>
      <c r="DI367" s="21"/>
      <c r="DJ367" s="21"/>
      <c r="DK367" s="21"/>
      <c r="DL367" s="21"/>
      <c r="DM367" s="21"/>
      <c r="DN367" s="21"/>
      <c r="DO367" s="21"/>
      <c r="DP367" s="21"/>
      <c r="DQ367" s="21"/>
      <c r="DR367" s="21"/>
      <c r="DS367" s="21"/>
      <c r="DT367" s="21"/>
      <c r="DU367" s="21"/>
      <c r="DV367" s="21"/>
      <c r="DW367" s="21"/>
      <c r="DX367" s="21"/>
      <c r="DY367" s="21"/>
      <c r="DZ367" s="21"/>
      <c r="EA367" s="21"/>
      <c r="EB367" s="21"/>
      <c r="EC367" s="21"/>
      <c r="ED367" s="21"/>
      <c r="EE367" s="21"/>
      <c r="EF367" s="21"/>
      <c r="EG367" s="21"/>
      <c r="EH367" s="21"/>
      <c r="EI367" s="21"/>
      <c r="EJ367" s="21"/>
      <c r="EK367" s="21"/>
      <c r="EL367" s="21"/>
      <c r="EM367" s="21"/>
      <c r="EN367" s="21"/>
      <c r="EO367" s="21"/>
      <c r="EP367" s="21"/>
      <c r="EQ367" s="21"/>
      <c r="ER367" s="21"/>
      <c r="ES367" s="21"/>
      <c r="ET367" s="21"/>
      <c r="EU367" s="21"/>
      <c r="EV367" s="21"/>
      <c r="EW367" s="21"/>
      <c r="EX367" s="21"/>
      <c r="EY367" s="21"/>
      <c r="EZ367" s="21"/>
      <c r="FA367" s="21"/>
      <c r="FB367" s="21"/>
      <c r="FC367" s="21"/>
      <c r="FD367" s="21"/>
      <c r="FE367" s="21"/>
      <c r="FF367" s="21"/>
      <c r="FG367" s="21"/>
      <c r="FH367" s="21"/>
      <c r="FI367" s="21"/>
      <c r="FJ367" s="21"/>
      <c r="FK367" s="21"/>
      <c r="FL367" s="21"/>
      <c r="FM367" s="21"/>
      <c r="FN367" s="21"/>
      <c r="FO367" s="21"/>
      <c r="FP367" s="21"/>
      <c r="FQ367" s="21"/>
      <c r="FR367" s="21"/>
      <c r="FS367" s="21"/>
      <c r="FT367" s="21"/>
      <c r="FU367" s="21"/>
      <c r="FV367" s="21"/>
      <c r="FW367" s="21"/>
      <c r="FX367" s="21"/>
      <c r="FY367" s="21"/>
      <c r="FZ367" s="21"/>
      <c r="GA367" s="21"/>
      <c r="GB367" s="21"/>
      <c r="GC367" s="21"/>
      <c r="GD367" s="21"/>
      <c r="GE367" s="21"/>
      <c r="GF367" s="21"/>
      <c r="GG367" s="21"/>
      <c r="GH367" s="21"/>
      <c r="GI367" s="21"/>
      <c r="GJ367" s="21"/>
      <c r="GK367" s="21"/>
      <c r="GL367" s="21"/>
    </row>
    <row r="368" spans="1:194" s="22" customFormat="1" x14ac:dyDescent="0.25">
      <c r="A368" s="24" t="s">
        <v>311</v>
      </c>
      <c r="B368" s="28">
        <f t="shared" si="55"/>
        <v>3600</v>
      </c>
      <c r="C368" s="28">
        <f t="shared" si="55"/>
        <v>3600</v>
      </c>
      <c r="D368" s="28">
        <f t="shared" si="55"/>
        <v>0</v>
      </c>
      <c r="E368" s="28"/>
      <c r="F368" s="28"/>
      <c r="G368" s="28">
        <f t="shared" si="56"/>
        <v>0</v>
      </c>
      <c r="H368" s="28"/>
      <c r="I368" s="28"/>
      <c r="J368" s="28">
        <f t="shared" si="57"/>
        <v>0</v>
      </c>
      <c r="K368" s="28">
        <v>3600</v>
      </c>
      <c r="L368" s="28">
        <v>3600</v>
      </c>
      <c r="M368" s="28">
        <f t="shared" si="58"/>
        <v>0</v>
      </c>
      <c r="N368" s="28"/>
      <c r="O368" s="28"/>
      <c r="P368" s="28">
        <f t="shared" si="59"/>
        <v>0</v>
      </c>
      <c r="Q368" s="28"/>
      <c r="R368" s="28"/>
      <c r="S368" s="28">
        <f t="shared" si="60"/>
        <v>0</v>
      </c>
      <c r="T368" s="28"/>
      <c r="U368" s="28"/>
      <c r="V368" s="28">
        <f t="shared" si="61"/>
        <v>0</v>
      </c>
      <c r="W368" s="28"/>
      <c r="X368" s="28"/>
      <c r="Y368" s="28">
        <f t="shared" si="62"/>
        <v>0</v>
      </c>
      <c r="Z368" s="28"/>
      <c r="AA368" s="28"/>
      <c r="AB368" s="28">
        <f t="shared" si="63"/>
        <v>0</v>
      </c>
    </row>
    <row r="369" spans="1:194" s="22" customFormat="1" ht="31.5" x14ac:dyDescent="0.25">
      <c r="A369" s="24" t="s">
        <v>312</v>
      </c>
      <c r="B369" s="28">
        <f t="shared" si="55"/>
        <v>54000</v>
      </c>
      <c r="C369" s="28">
        <f t="shared" si="55"/>
        <v>53359</v>
      </c>
      <c r="D369" s="28">
        <f t="shared" si="55"/>
        <v>-641</v>
      </c>
      <c r="E369" s="28">
        <f>0</f>
        <v>0</v>
      </c>
      <c r="F369" s="28">
        <f>53359</f>
        <v>53359</v>
      </c>
      <c r="G369" s="28">
        <f t="shared" si="56"/>
        <v>53359</v>
      </c>
      <c r="H369" s="28"/>
      <c r="I369" s="28"/>
      <c r="J369" s="28">
        <f t="shared" si="57"/>
        <v>0</v>
      </c>
      <c r="K369" s="28">
        <v>54000</v>
      </c>
      <c r="L369" s="28">
        <f>54000-54000</f>
        <v>0</v>
      </c>
      <c r="M369" s="28">
        <f t="shared" si="58"/>
        <v>-54000</v>
      </c>
      <c r="N369" s="28"/>
      <c r="O369" s="28"/>
      <c r="P369" s="28">
        <f t="shared" si="59"/>
        <v>0</v>
      </c>
      <c r="Q369" s="28"/>
      <c r="R369" s="28"/>
      <c r="S369" s="28">
        <f t="shared" si="60"/>
        <v>0</v>
      </c>
      <c r="T369" s="28"/>
      <c r="U369" s="28"/>
      <c r="V369" s="28">
        <f t="shared" si="61"/>
        <v>0</v>
      </c>
      <c r="W369" s="28"/>
      <c r="X369" s="28"/>
      <c r="Y369" s="28">
        <f t="shared" si="62"/>
        <v>0</v>
      </c>
      <c r="Z369" s="28"/>
      <c r="AA369" s="28"/>
      <c r="AB369" s="28">
        <f t="shared" si="63"/>
        <v>0</v>
      </c>
    </row>
    <row r="370" spans="1:194" s="22" customFormat="1" x14ac:dyDescent="0.25">
      <c r="A370" s="24" t="s">
        <v>313</v>
      </c>
      <c r="B370" s="28">
        <f t="shared" si="55"/>
        <v>1000</v>
      </c>
      <c r="C370" s="28">
        <f t="shared" si="55"/>
        <v>1000</v>
      </c>
      <c r="D370" s="28">
        <f t="shared" si="55"/>
        <v>0</v>
      </c>
      <c r="E370" s="28"/>
      <c r="F370" s="28"/>
      <c r="G370" s="28">
        <f t="shared" si="56"/>
        <v>0</v>
      </c>
      <c r="H370" s="28"/>
      <c r="I370" s="28"/>
      <c r="J370" s="28">
        <f t="shared" si="57"/>
        <v>0</v>
      </c>
      <c r="K370" s="28">
        <v>1000</v>
      </c>
      <c r="L370" s="28">
        <v>1000</v>
      </c>
      <c r="M370" s="28">
        <f t="shared" si="58"/>
        <v>0</v>
      </c>
      <c r="N370" s="28"/>
      <c r="O370" s="28"/>
      <c r="P370" s="28">
        <f t="shared" si="59"/>
        <v>0</v>
      </c>
      <c r="Q370" s="28"/>
      <c r="R370" s="28"/>
      <c r="S370" s="28">
        <f t="shared" si="60"/>
        <v>0</v>
      </c>
      <c r="T370" s="28"/>
      <c r="U370" s="28"/>
      <c r="V370" s="28">
        <f t="shared" si="61"/>
        <v>0</v>
      </c>
      <c r="W370" s="28"/>
      <c r="X370" s="28"/>
      <c r="Y370" s="28">
        <f t="shared" si="62"/>
        <v>0</v>
      </c>
      <c r="Z370" s="28"/>
      <c r="AA370" s="28"/>
      <c r="AB370" s="28">
        <f t="shared" si="63"/>
        <v>0</v>
      </c>
    </row>
    <row r="371" spans="1:194" s="22" customFormat="1" x14ac:dyDescent="0.25">
      <c r="A371" s="24" t="s">
        <v>314</v>
      </c>
      <c r="B371" s="28">
        <f t="shared" si="55"/>
        <v>3300</v>
      </c>
      <c r="C371" s="28">
        <f t="shared" si="55"/>
        <v>3300</v>
      </c>
      <c r="D371" s="28">
        <f t="shared" si="55"/>
        <v>0</v>
      </c>
      <c r="E371" s="28"/>
      <c r="F371" s="28"/>
      <c r="G371" s="28">
        <f t="shared" si="56"/>
        <v>0</v>
      </c>
      <c r="H371" s="28"/>
      <c r="I371" s="28"/>
      <c r="J371" s="28">
        <f t="shared" si="57"/>
        <v>0</v>
      </c>
      <c r="K371" s="28">
        <v>3300</v>
      </c>
      <c r="L371" s="28">
        <v>3300</v>
      </c>
      <c r="M371" s="28">
        <f t="shared" si="58"/>
        <v>0</v>
      </c>
      <c r="N371" s="28"/>
      <c r="O371" s="28"/>
      <c r="P371" s="28">
        <f t="shared" si="59"/>
        <v>0</v>
      </c>
      <c r="Q371" s="28"/>
      <c r="R371" s="28"/>
      <c r="S371" s="28">
        <f t="shared" si="60"/>
        <v>0</v>
      </c>
      <c r="T371" s="28"/>
      <c r="U371" s="28"/>
      <c r="V371" s="28">
        <f t="shared" si="61"/>
        <v>0</v>
      </c>
      <c r="W371" s="28"/>
      <c r="X371" s="28"/>
      <c r="Y371" s="28">
        <f t="shared" si="62"/>
        <v>0</v>
      </c>
      <c r="Z371" s="28"/>
      <c r="AA371" s="28"/>
      <c r="AB371" s="28">
        <f t="shared" si="63"/>
        <v>0</v>
      </c>
    </row>
    <row r="372" spans="1:194" s="22" customFormat="1" x14ac:dyDescent="0.25">
      <c r="A372" s="24" t="s">
        <v>315</v>
      </c>
      <c r="B372" s="28">
        <f t="shared" si="55"/>
        <v>670</v>
      </c>
      <c r="C372" s="28">
        <f t="shared" si="55"/>
        <v>670</v>
      </c>
      <c r="D372" s="28">
        <f t="shared" si="55"/>
        <v>0</v>
      </c>
      <c r="E372" s="28"/>
      <c r="F372" s="28"/>
      <c r="G372" s="28">
        <f t="shared" si="56"/>
        <v>0</v>
      </c>
      <c r="H372" s="28"/>
      <c r="I372" s="28"/>
      <c r="J372" s="28">
        <f t="shared" si="57"/>
        <v>0</v>
      </c>
      <c r="K372" s="28"/>
      <c r="L372" s="28"/>
      <c r="M372" s="28">
        <f t="shared" si="58"/>
        <v>0</v>
      </c>
      <c r="N372" s="28">
        <v>670</v>
      </c>
      <c r="O372" s="28">
        <v>670</v>
      </c>
      <c r="P372" s="28">
        <f t="shared" si="59"/>
        <v>0</v>
      </c>
      <c r="Q372" s="28"/>
      <c r="R372" s="28"/>
      <c r="S372" s="28">
        <f t="shared" si="60"/>
        <v>0</v>
      </c>
      <c r="T372" s="28"/>
      <c r="U372" s="28"/>
      <c r="V372" s="28">
        <f t="shared" si="61"/>
        <v>0</v>
      </c>
      <c r="W372" s="28"/>
      <c r="X372" s="28"/>
      <c r="Y372" s="28">
        <f t="shared" si="62"/>
        <v>0</v>
      </c>
      <c r="Z372" s="28"/>
      <c r="AA372" s="28"/>
      <c r="AB372" s="28">
        <f t="shared" si="63"/>
        <v>0</v>
      </c>
    </row>
    <row r="373" spans="1:194" s="22" customFormat="1" x14ac:dyDescent="0.25">
      <c r="A373" s="24" t="s">
        <v>316</v>
      </c>
      <c r="B373" s="28">
        <f t="shared" si="55"/>
        <v>771</v>
      </c>
      <c r="C373" s="28">
        <f t="shared" si="55"/>
        <v>771</v>
      </c>
      <c r="D373" s="28">
        <f t="shared" si="55"/>
        <v>0</v>
      </c>
      <c r="E373" s="28"/>
      <c r="F373" s="28"/>
      <c r="G373" s="28">
        <f t="shared" si="56"/>
        <v>0</v>
      </c>
      <c r="H373" s="28"/>
      <c r="I373" s="28"/>
      <c r="J373" s="28">
        <f t="shared" si="57"/>
        <v>0</v>
      </c>
      <c r="K373" s="28">
        <v>771</v>
      </c>
      <c r="L373" s="28">
        <v>771</v>
      </c>
      <c r="M373" s="28">
        <f t="shared" si="58"/>
        <v>0</v>
      </c>
      <c r="N373" s="28"/>
      <c r="O373" s="28"/>
      <c r="P373" s="28">
        <f t="shared" si="59"/>
        <v>0</v>
      </c>
      <c r="Q373" s="28"/>
      <c r="R373" s="28"/>
      <c r="S373" s="28">
        <f t="shared" si="60"/>
        <v>0</v>
      </c>
      <c r="T373" s="28"/>
      <c r="U373" s="28"/>
      <c r="V373" s="28">
        <f t="shared" si="61"/>
        <v>0</v>
      </c>
      <c r="W373" s="28"/>
      <c r="X373" s="28"/>
      <c r="Y373" s="28">
        <f t="shared" si="62"/>
        <v>0</v>
      </c>
      <c r="Z373" s="28"/>
      <c r="AA373" s="28"/>
      <c r="AB373" s="28">
        <f t="shared" si="63"/>
        <v>0</v>
      </c>
    </row>
    <row r="374" spans="1:194" s="22" customFormat="1" x14ac:dyDescent="0.25">
      <c r="A374" s="24" t="s">
        <v>317</v>
      </c>
      <c r="B374" s="28">
        <f t="shared" si="55"/>
        <v>3980</v>
      </c>
      <c r="C374" s="28">
        <f t="shared" si="55"/>
        <v>1670</v>
      </c>
      <c r="D374" s="28">
        <f t="shared" si="55"/>
        <v>-2310</v>
      </c>
      <c r="E374" s="28"/>
      <c r="F374" s="28"/>
      <c r="G374" s="28">
        <f t="shared" si="56"/>
        <v>0</v>
      </c>
      <c r="H374" s="28"/>
      <c r="I374" s="28"/>
      <c r="J374" s="28">
        <f t="shared" si="57"/>
        <v>0</v>
      </c>
      <c r="K374" s="28"/>
      <c r="L374" s="28"/>
      <c r="M374" s="28">
        <f t="shared" si="58"/>
        <v>0</v>
      </c>
      <c r="N374" s="28">
        <f>3000+980</f>
        <v>3980</v>
      </c>
      <c r="O374" s="28">
        <f>3000+980-2310</f>
        <v>1670</v>
      </c>
      <c r="P374" s="28">
        <f t="shared" si="59"/>
        <v>-2310</v>
      </c>
      <c r="Q374" s="28"/>
      <c r="R374" s="28"/>
      <c r="S374" s="28">
        <f t="shared" si="60"/>
        <v>0</v>
      </c>
      <c r="T374" s="28"/>
      <c r="U374" s="28"/>
      <c r="V374" s="28">
        <f t="shared" si="61"/>
        <v>0</v>
      </c>
      <c r="W374" s="28"/>
      <c r="X374" s="28"/>
      <c r="Y374" s="28">
        <f t="shared" si="62"/>
        <v>0</v>
      </c>
      <c r="Z374" s="28"/>
      <c r="AA374" s="28"/>
      <c r="AB374" s="28">
        <f t="shared" si="63"/>
        <v>0</v>
      </c>
    </row>
    <row r="375" spans="1:194" s="22" customFormat="1" x14ac:dyDescent="0.25">
      <c r="A375" s="19" t="s">
        <v>174</v>
      </c>
      <c r="B375" s="20">
        <f t="shared" si="55"/>
        <v>80000</v>
      </c>
      <c r="C375" s="20">
        <f t="shared" si="55"/>
        <v>80000</v>
      </c>
      <c r="D375" s="20">
        <f t="shared" si="55"/>
        <v>0</v>
      </c>
      <c r="E375" s="20">
        <f>SUM(E376:E376)</f>
        <v>0</v>
      </c>
      <c r="F375" s="20">
        <f>SUM(F376:F376)</f>
        <v>0</v>
      </c>
      <c r="G375" s="20">
        <f t="shared" si="56"/>
        <v>0</v>
      </c>
      <c r="H375" s="20">
        <f>SUM(H376:H376)</f>
        <v>0</v>
      </c>
      <c r="I375" s="20">
        <f>SUM(I376:I376)</f>
        <v>0</v>
      </c>
      <c r="J375" s="20">
        <f t="shared" si="57"/>
        <v>0</v>
      </c>
      <c r="K375" s="20">
        <f>SUM(K376:K376)</f>
        <v>0</v>
      </c>
      <c r="L375" s="20">
        <f>SUM(L376:L376)</f>
        <v>0</v>
      </c>
      <c r="M375" s="20">
        <f t="shared" si="58"/>
        <v>0</v>
      </c>
      <c r="N375" s="20">
        <f>SUM(N376:N376)</f>
        <v>0</v>
      </c>
      <c r="O375" s="20">
        <f>SUM(O376:O376)</f>
        <v>0</v>
      </c>
      <c r="P375" s="20">
        <f t="shared" si="59"/>
        <v>0</v>
      </c>
      <c r="Q375" s="20">
        <f>SUM(Q376:Q376)</f>
        <v>0</v>
      </c>
      <c r="R375" s="20">
        <f>SUM(R376:R376)</f>
        <v>0</v>
      </c>
      <c r="S375" s="20">
        <f t="shared" si="60"/>
        <v>0</v>
      </c>
      <c r="T375" s="20">
        <f>SUM(T376:T376)</f>
        <v>0</v>
      </c>
      <c r="U375" s="20">
        <f>SUM(U376:U376)</f>
        <v>0</v>
      </c>
      <c r="V375" s="20">
        <f t="shared" si="61"/>
        <v>0</v>
      </c>
      <c r="W375" s="20">
        <f>SUM(W376:W376)</f>
        <v>0</v>
      </c>
      <c r="X375" s="20">
        <f>SUM(X376:X376)</f>
        <v>0</v>
      </c>
      <c r="Y375" s="20">
        <f t="shared" si="62"/>
        <v>0</v>
      </c>
      <c r="Z375" s="20">
        <f>SUM(Z376:Z376)</f>
        <v>80000</v>
      </c>
      <c r="AA375" s="20">
        <f>SUM(AA376:AA376)</f>
        <v>80000</v>
      </c>
      <c r="AB375" s="20">
        <f t="shared" si="63"/>
        <v>0</v>
      </c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1"/>
      <c r="BM375" s="21"/>
      <c r="BN375" s="21"/>
      <c r="BO375" s="21"/>
      <c r="BP375" s="21"/>
      <c r="BQ375" s="21"/>
      <c r="BR375" s="21"/>
      <c r="BS375" s="21"/>
      <c r="BT375" s="21"/>
      <c r="BU375" s="21"/>
      <c r="BV375" s="21"/>
      <c r="BW375" s="21"/>
      <c r="BX375" s="21"/>
      <c r="BY375" s="21"/>
      <c r="BZ375" s="21"/>
      <c r="CA375" s="21"/>
      <c r="CB375" s="21"/>
      <c r="CC375" s="21"/>
      <c r="CD375" s="21"/>
      <c r="CE375" s="21"/>
      <c r="CF375" s="21"/>
      <c r="CG375" s="21"/>
      <c r="CH375" s="21"/>
      <c r="CI375" s="21"/>
      <c r="CJ375" s="21"/>
      <c r="CK375" s="21"/>
      <c r="CL375" s="21"/>
      <c r="CM375" s="21"/>
      <c r="CN375" s="21"/>
      <c r="CO375" s="21"/>
      <c r="CP375" s="21"/>
      <c r="CQ375" s="21"/>
      <c r="CR375" s="21"/>
      <c r="CS375" s="21"/>
      <c r="CT375" s="21"/>
      <c r="CU375" s="21"/>
      <c r="CV375" s="21"/>
      <c r="CW375" s="21"/>
      <c r="CX375" s="21"/>
      <c r="CY375" s="21"/>
      <c r="CZ375" s="21"/>
      <c r="DA375" s="21"/>
      <c r="DB375" s="21"/>
      <c r="DC375" s="21"/>
      <c r="DD375" s="21"/>
      <c r="DE375" s="21"/>
      <c r="DF375" s="21"/>
      <c r="DG375" s="21"/>
      <c r="DH375" s="21"/>
      <c r="DI375" s="21"/>
      <c r="DJ375" s="21"/>
      <c r="DK375" s="21"/>
      <c r="DL375" s="21"/>
      <c r="DM375" s="21"/>
      <c r="DN375" s="21"/>
      <c r="DO375" s="21"/>
      <c r="DP375" s="21"/>
      <c r="DQ375" s="21"/>
      <c r="DR375" s="21"/>
      <c r="DS375" s="21"/>
      <c r="DT375" s="21"/>
      <c r="DU375" s="21"/>
      <c r="DV375" s="21"/>
      <c r="DW375" s="21"/>
      <c r="DX375" s="21"/>
      <c r="DY375" s="21"/>
      <c r="DZ375" s="21"/>
      <c r="EA375" s="21"/>
      <c r="EB375" s="21"/>
      <c r="EC375" s="21"/>
      <c r="ED375" s="21"/>
      <c r="EE375" s="21"/>
      <c r="EF375" s="21"/>
      <c r="EG375" s="21"/>
      <c r="EH375" s="21"/>
      <c r="EI375" s="21"/>
      <c r="EJ375" s="21"/>
      <c r="EK375" s="21"/>
      <c r="EL375" s="21"/>
      <c r="EM375" s="21"/>
      <c r="EN375" s="21"/>
      <c r="EO375" s="21"/>
      <c r="EP375" s="21"/>
      <c r="EQ375" s="21"/>
      <c r="ER375" s="21"/>
      <c r="ES375" s="21"/>
      <c r="ET375" s="21"/>
      <c r="EU375" s="21"/>
      <c r="EV375" s="21"/>
      <c r="EW375" s="21"/>
      <c r="EX375" s="21"/>
      <c r="EY375" s="21"/>
      <c r="EZ375" s="21"/>
      <c r="FA375" s="21"/>
      <c r="FB375" s="21"/>
      <c r="FC375" s="21"/>
      <c r="FD375" s="21"/>
      <c r="FE375" s="21"/>
      <c r="FF375" s="21"/>
      <c r="FG375" s="21"/>
      <c r="FH375" s="21"/>
      <c r="FI375" s="21"/>
      <c r="FJ375" s="21"/>
      <c r="FK375" s="21"/>
      <c r="FL375" s="21"/>
      <c r="FM375" s="21"/>
      <c r="FN375" s="21"/>
      <c r="FO375" s="21"/>
      <c r="FP375" s="21"/>
      <c r="FQ375" s="21"/>
      <c r="FR375" s="21"/>
      <c r="FS375" s="21"/>
      <c r="FT375" s="21"/>
      <c r="FU375" s="21"/>
      <c r="FV375" s="21"/>
      <c r="FW375" s="21"/>
      <c r="FX375" s="21"/>
      <c r="FY375" s="21"/>
      <c r="FZ375" s="21"/>
      <c r="GA375" s="21"/>
      <c r="GB375" s="21"/>
      <c r="GC375" s="21"/>
      <c r="GD375" s="21"/>
      <c r="GE375" s="21"/>
      <c r="GF375" s="21"/>
      <c r="GG375" s="21"/>
      <c r="GH375" s="21"/>
      <c r="GI375" s="21"/>
      <c r="GJ375" s="21"/>
      <c r="GK375" s="21"/>
      <c r="GL375" s="21"/>
    </row>
    <row r="376" spans="1:194" s="22" customFormat="1" x14ac:dyDescent="0.25">
      <c r="A376" s="27" t="s">
        <v>318</v>
      </c>
      <c r="B376" s="28">
        <f t="shared" si="55"/>
        <v>80000</v>
      </c>
      <c r="C376" s="28">
        <f t="shared" si="55"/>
        <v>80000</v>
      </c>
      <c r="D376" s="28">
        <f t="shared" si="55"/>
        <v>0</v>
      </c>
      <c r="E376" s="20"/>
      <c r="F376" s="20"/>
      <c r="G376" s="20">
        <f t="shared" si="56"/>
        <v>0</v>
      </c>
      <c r="H376" s="20"/>
      <c r="I376" s="20"/>
      <c r="J376" s="20">
        <f t="shared" si="57"/>
        <v>0</v>
      </c>
      <c r="K376" s="20"/>
      <c r="L376" s="20"/>
      <c r="M376" s="20">
        <f t="shared" si="58"/>
        <v>0</v>
      </c>
      <c r="N376" s="20"/>
      <c r="O376" s="20"/>
      <c r="P376" s="20">
        <f t="shared" si="59"/>
        <v>0</v>
      </c>
      <c r="Q376" s="20"/>
      <c r="R376" s="20"/>
      <c r="S376" s="20">
        <f t="shared" si="60"/>
        <v>0</v>
      </c>
      <c r="T376" s="20"/>
      <c r="U376" s="20"/>
      <c r="V376" s="20">
        <f t="shared" si="61"/>
        <v>0</v>
      </c>
      <c r="W376" s="20"/>
      <c r="X376" s="20"/>
      <c r="Y376" s="20">
        <f t="shared" si="62"/>
        <v>0</v>
      </c>
      <c r="Z376" s="28">
        <v>80000</v>
      </c>
      <c r="AA376" s="28">
        <v>80000</v>
      </c>
      <c r="AB376" s="20">
        <f t="shared" si="63"/>
        <v>0</v>
      </c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1"/>
      <c r="BM376" s="21"/>
      <c r="BN376" s="21"/>
      <c r="BO376" s="21"/>
      <c r="BP376" s="21"/>
      <c r="BQ376" s="21"/>
      <c r="BR376" s="21"/>
      <c r="BS376" s="21"/>
      <c r="BT376" s="21"/>
      <c r="BU376" s="21"/>
      <c r="BV376" s="21"/>
      <c r="BW376" s="21"/>
      <c r="BX376" s="21"/>
      <c r="BY376" s="21"/>
      <c r="BZ376" s="21"/>
      <c r="CA376" s="21"/>
      <c r="CB376" s="21"/>
      <c r="CC376" s="21"/>
      <c r="CD376" s="21"/>
      <c r="CE376" s="21"/>
      <c r="CF376" s="21"/>
      <c r="CG376" s="21"/>
      <c r="CH376" s="21"/>
      <c r="CI376" s="21"/>
      <c r="CJ376" s="21"/>
      <c r="CK376" s="21"/>
      <c r="CL376" s="21"/>
      <c r="CM376" s="21"/>
      <c r="CN376" s="21"/>
      <c r="CO376" s="21"/>
      <c r="CP376" s="21"/>
      <c r="CQ376" s="21"/>
      <c r="CR376" s="21"/>
      <c r="CS376" s="21"/>
      <c r="CT376" s="21"/>
      <c r="CU376" s="21"/>
      <c r="CV376" s="21"/>
      <c r="CW376" s="21"/>
      <c r="CX376" s="21"/>
      <c r="CY376" s="21"/>
      <c r="CZ376" s="21"/>
      <c r="DA376" s="21"/>
      <c r="DB376" s="21"/>
      <c r="DC376" s="21"/>
      <c r="DD376" s="21"/>
      <c r="DE376" s="21"/>
      <c r="DF376" s="21"/>
      <c r="DG376" s="21"/>
      <c r="DH376" s="21"/>
      <c r="DI376" s="21"/>
      <c r="DJ376" s="21"/>
      <c r="DK376" s="21"/>
      <c r="DL376" s="21"/>
      <c r="DM376" s="21"/>
      <c r="DN376" s="21"/>
      <c r="DO376" s="21"/>
      <c r="DP376" s="21"/>
      <c r="DQ376" s="21"/>
      <c r="DR376" s="21"/>
      <c r="DS376" s="21"/>
      <c r="DT376" s="21"/>
      <c r="DU376" s="21"/>
      <c r="DV376" s="21"/>
      <c r="DW376" s="21"/>
      <c r="DX376" s="21"/>
      <c r="DY376" s="21"/>
      <c r="DZ376" s="21"/>
      <c r="EA376" s="21"/>
      <c r="EB376" s="21"/>
      <c r="EC376" s="21"/>
      <c r="ED376" s="21"/>
      <c r="EE376" s="21"/>
      <c r="EF376" s="21"/>
      <c r="EG376" s="21"/>
      <c r="EH376" s="21"/>
      <c r="EI376" s="21"/>
      <c r="EJ376" s="21"/>
      <c r="EK376" s="21"/>
      <c r="EL376" s="21"/>
      <c r="EM376" s="21"/>
      <c r="EN376" s="21"/>
      <c r="EO376" s="21"/>
      <c r="EP376" s="21"/>
      <c r="EQ376" s="21"/>
      <c r="ER376" s="21"/>
      <c r="ES376" s="21"/>
      <c r="ET376" s="21"/>
      <c r="EU376" s="21"/>
      <c r="EV376" s="21"/>
      <c r="EW376" s="21"/>
      <c r="EX376" s="21"/>
      <c r="EY376" s="21"/>
      <c r="EZ376" s="21"/>
      <c r="FA376" s="21"/>
      <c r="FB376" s="21"/>
      <c r="FC376" s="21"/>
      <c r="FD376" s="21"/>
      <c r="FE376" s="21"/>
      <c r="FF376" s="21"/>
      <c r="FG376" s="21"/>
      <c r="FH376" s="21"/>
      <c r="FI376" s="21"/>
      <c r="FJ376" s="21"/>
      <c r="FK376" s="21"/>
      <c r="FL376" s="21"/>
      <c r="FM376" s="21"/>
      <c r="FN376" s="21"/>
      <c r="FO376" s="21"/>
      <c r="FP376" s="21"/>
      <c r="FQ376" s="21"/>
      <c r="FR376" s="21"/>
      <c r="FS376" s="21"/>
      <c r="FT376" s="21"/>
      <c r="FU376" s="21"/>
      <c r="FV376" s="21"/>
      <c r="FW376" s="21"/>
      <c r="FX376" s="21"/>
      <c r="FY376" s="21"/>
      <c r="FZ376" s="21"/>
      <c r="GA376" s="21"/>
      <c r="GB376" s="21"/>
      <c r="GC376" s="21"/>
      <c r="GD376" s="21"/>
      <c r="GE376" s="21"/>
      <c r="GF376" s="21"/>
      <c r="GG376" s="21"/>
      <c r="GH376" s="21"/>
      <c r="GI376" s="21"/>
      <c r="GJ376" s="21"/>
      <c r="GK376" s="21"/>
      <c r="GL376" s="21"/>
    </row>
    <row r="377" spans="1:194" s="22" customFormat="1" x14ac:dyDescent="0.25">
      <c r="A377" s="19" t="s">
        <v>176</v>
      </c>
      <c r="B377" s="20">
        <f t="shared" si="55"/>
        <v>235620</v>
      </c>
      <c r="C377" s="20">
        <f t="shared" si="55"/>
        <v>238100</v>
      </c>
      <c r="D377" s="20">
        <f t="shared" si="55"/>
        <v>2480</v>
      </c>
      <c r="E377" s="20">
        <f>SUM(E378:E384)</f>
        <v>0</v>
      </c>
      <c r="F377" s="20">
        <f>SUM(F378:F384)</f>
        <v>0</v>
      </c>
      <c r="G377" s="20">
        <f t="shared" si="56"/>
        <v>0</v>
      </c>
      <c r="H377" s="20">
        <f>SUM(H378:H384)</f>
        <v>0</v>
      </c>
      <c r="I377" s="20">
        <f>SUM(I378:I384)</f>
        <v>0</v>
      </c>
      <c r="J377" s="20">
        <f t="shared" si="57"/>
        <v>0</v>
      </c>
      <c r="K377" s="20">
        <f>SUM(K378:K384)</f>
        <v>192983</v>
      </c>
      <c r="L377" s="20">
        <f>SUM(L378:L384)</f>
        <v>193153</v>
      </c>
      <c r="M377" s="20">
        <f t="shared" si="58"/>
        <v>170</v>
      </c>
      <c r="N377" s="20">
        <f>SUM(N378:N384)</f>
        <v>0</v>
      </c>
      <c r="O377" s="20">
        <f>SUM(O378:O384)</f>
        <v>2310</v>
      </c>
      <c r="P377" s="20">
        <f t="shared" si="59"/>
        <v>2310</v>
      </c>
      <c r="Q377" s="20">
        <f>SUM(Q378:Q384)</f>
        <v>0</v>
      </c>
      <c r="R377" s="20">
        <f>SUM(R378:R384)</f>
        <v>0</v>
      </c>
      <c r="S377" s="20">
        <f t="shared" si="60"/>
        <v>0</v>
      </c>
      <c r="T377" s="20">
        <f>SUM(T378:T384)</f>
        <v>29970</v>
      </c>
      <c r="U377" s="20">
        <f>SUM(U378:U384)</f>
        <v>29970</v>
      </c>
      <c r="V377" s="20">
        <f t="shared" si="61"/>
        <v>0</v>
      </c>
      <c r="W377" s="20">
        <f>SUM(W378:W384)</f>
        <v>0</v>
      </c>
      <c r="X377" s="20">
        <f>SUM(X378:X384)</f>
        <v>0</v>
      </c>
      <c r="Y377" s="20">
        <f t="shared" si="62"/>
        <v>0</v>
      </c>
      <c r="Z377" s="20">
        <f>SUM(Z378:Z384)</f>
        <v>12667</v>
      </c>
      <c r="AA377" s="20">
        <f>SUM(AA378:AA384)</f>
        <v>12667</v>
      </c>
      <c r="AB377" s="20">
        <f t="shared" si="63"/>
        <v>0</v>
      </c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  <c r="BL377" s="21"/>
      <c r="BM377" s="21"/>
      <c r="BN377" s="21"/>
      <c r="BO377" s="21"/>
      <c r="BP377" s="21"/>
      <c r="BQ377" s="21"/>
      <c r="BR377" s="21"/>
      <c r="BS377" s="21"/>
      <c r="BT377" s="21"/>
      <c r="BU377" s="21"/>
      <c r="BV377" s="21"/>
      <c r="BW377" s="21"/>
      <c r="BX377" s="21"/>
      <c r="BY377" s="21"/>
      <c r="BZ377" s="21"/>
      <c r="CA377" s="21"/>
      <c r="CB377" s="21"/>
      <c r="CC377" s="21"/>
      <c r="CD377" s="21"/>
      <c r="CE377" s="21"/>
      <c r="CF377" s="21"/>
      <c r="CG377" s="21"/>
      <c r="CH377" s="21"/>
      <c r="CI377" s="21"/>
      <c r="CJ377" s="21"/>
      <c r="CK377" s="21"/>
      <c r="CL377" s="21"/>
      <c r="CM377" s="21"/>
      <c r="CN377" s="21"/>
      <c r="CO377" s="21"/>
      <c r="CP377" s="21"/>
      <c r="CQ377" s="21"/>
      <c r="CR377" s="21"/>
      <c r="CS377" s="21"/>
      <c r="CT377" s="21"/>
      <c r="CU377" s="21"/>
      <c r="CV377" s="21"/>
      <c r="CW377" s="21"/>
      <c r="CX377" s="21"/>
      <c r="CY377" s="21"/>
      <c r="CZ377" s="21"/>
      <c r="DA377" s="21"/>
      <c r="DB377" s="21"/>
      <c r="DC377" s="21"/>
      <c r="DD377" s="21"/>
      <c r="DE377" s="21"/>
      <c r="DF377" s="21"/>
      <c r="DG377" s="21"/>
      <c r="DH377" s="21"/>
      <c r="DI377" s="21"/>
      <c r="DJ377" s="21"/>
      <c r="DK377" s="21"/>
      <c r="DL377" s="21"/>
      <c r="DM377" s="21"/>
      <c r="DN377" s="21"/>
      <c r="DO377" s="21"/>
      <c r="DP377" s="21"/>
      <c r="DQ377" s="21"/>
      <c r="DR377" s="21"/>
      <c r="DS377" s="21"/>
      <c r="DT377" s="21"/>
      <c r="DU377" s="21"/>
      <c r="DV377" s="21"/>
      <c r="DW377" s="21"/>
      <c r="DX377" s="21"/>
      <c r="DY377" s="21"/>
      <c r="DZ377" s="21"/>
      <c r="EA377" s="21"/>
      <c r="EB377" s="21"/>
      <c r="EC377" s="21"/>
      <c r="ED377" s="21"/>
      <c r="EE377" s="21"/>
      <c r="EF377" s="21"/>
      <c r="EG377" s="21"/>
      <c r="EH377" s="21"/>
      <c r="EI377" s="21"/>
      <c r="EJ377" s="21"/>
      <c r="EK377" s="21"/>
      <c r="EL377" s="21"/>
      <c r="EM377" s="21"/>
      <c r="EN377" s="21"/>
      <c r="EO377" s="21"/>
      <c r="EP377" s="21"/>
      <c r="EQ377" s="21"/>
      <c r="ER377" s="21"/>
      <c r="ES377" s="21"/>
      <c r="ET377" s="21"/>
      <c r="EU377" s="21"/>
      <c r="EV377" s="21"/>
      <c r="EW377" s="21"/>
      <c r="EX377" s="21"/>
      <c r="EY377" s="21"/>
      <c r="EZ377" s="21"/>
      <c r="FA377" s="21"/>
      <c r="FB377" s="21"/>
      <c r="FC377" s="21"/>
      <c r="FD377" s="21"/>
      <c r="FE377" s="21"/>
      <c r="FF377" s="21"/>
      <c r="FG377" s="21"/>
      <c r="FH377" s="21"/>
      <c r="FI377" s="21"/>
      <c r="FJ377" s="21"/>
      <c r="FK377" s="21"/>
      <c r="FL377" s="21"/>
      <c r="FM377" s="21"/>
      <c r="FN377" s="21"/>
      <c r="FO377" s="21"/>
      <c r="FP377" s="21"/>
      <c r="FQ377" s="21"/>
      <c r="FR377" s="21"/>
      <c r="FS377" s="21"/>
      <c r="FT377" s="21"/>
      <c r="FU377" s="21"/>
      <c r="FV377" s="21"/>
      <c r="FW377" s="21"/>
      <c r="FX377" s="21"/>
      <c r="FY377" s="21"/>
      <c r="FZ377" s="21"/>
      <c r="GA377" s="21"/>
      <c r="GB377" s="21"/>
      <c r="GC377" s="21"/>
      <c r="GD377" s="21"/>
      <c r="GE377" s="21"/>
      <c r="GF377" s="21"/>
      <c r="GG377" s="21"/>
      <c r="GH377" s="21"/>
      <c r="GI377" s="21"/>
      <c r="GJ377" s="21"/>
      <c r="GK377" s="21"/>
      <c r="GL377" s="21"/>
    </row>
    <row r="378" spans="1:194" s="22" customFormat="1" x14ac:dyDescent="0.25">
      <c r="A378" s="27" t="s">
        <v>319</v>
      </c>
      <c r="B378" s="28">
        <f t="shared" si="55"/>
        <v>119646</v>
      </c>
      <c r="C378" s="28">
        <f t="shared" si="55"/>
        <v>119646</v>
      </c>
      <c r="D378" s="28">
        <f t="shared" si="55"/>
        <v>0</v>
      </c>
      <c r="E378" s="28"/>
      <c r="F378" s="28"/>
      <c r="G378" s="28">
        <f t="shared" si="56"/>
        <v>0</v>
      </c>
      <c r="H378" s="28"/>
      <c r="I378" s="28"/>
      <c r="J378" s="28">
        <f t="shared" si="57"/>
        <v>0</v>
      </c>
      <c r="K378" s="28">
        <f>66475+53171</f>
        <v>119646</v>
      </c>
      <c r="L378" s="28">
        <f>66475+53171</f>
        <v>119646</v>
      </c>
      <c r="M378" s="28">
        <f t="shared" si="58"/>
        <v>0</v>
      </c>
      <c r="N378" s="28"/>
      <c r="O378" s="28"/>
      <c r="P378" s="28">
        <f t="shared" si="59"/>
        <v>0</v>
      </c>
      <c r="Q378" s="28"/>
      <c r="R378" s="28"/>
      <c r="S378" s="28">
        <f t="shared" si="60"/>
        <v>0</v>
      </c>
      <c r="T378" s="28"/>
      <c r="U378" s="28"/>
      <c r="V378" s="28">
        <f t="shared" si="61"/>
        <v>0</v>
      </c>
      <c r="W378" s="28"/>
      <c r="X378" s="28"/>
      <c r="Y378" s="28">
        <f t="shared" si="62"/>
        <v>0</v>
      </c>
      <c r="Z378" s="28"/>
      <c r="AA378" s="28"/>
      <c r="AB378" s="28">
        <f t="shared" si="63"/>
        <v>0</v>
      </c>
    </row>
    <row r="379" spans="1:194" s="22" customFormat="1" x14ac:dyDescent="0.25">
      <c r="A379" s="24" t="s">
        <v>320</v>
      </c>
      <c r="B379" s="28">
        <f t="shared" si="55"/>
        <v>0</v>
      </c>
      <c r="C379" s="28">
        <f t="shared" si="55"/>
        <v>2480</v>
      </c>
      <c r="D379" s="28">
        <f t="shared" si="55"/>
        <v>2480</v>
      </c>
      <c r="E379" s="28"/>
      <c r="F379" s="28"/>
      <c r="G379" s="28">
        <f t="shared" si="56"/>
        <v>0</v>
      </c>
      <c r="H379" s="28"/>
      <c r="I379" s="28"/>
      <c r="J379" s="28">
        <f t="shared" si="57"/>
        <v>0</v>
      </c>
      <c r="K379" s="28">
        <f>0</f>
        <v>0</v>
      </c>
      <c r="L379" s="28">
        <f>170</f>
        <v>170</v>
      </c>
      <c r="M379" s="28">
        <f t="shared" si="58"/>
        <v>170</v>
      </c>
      <c r="N379" s="28"/>
      <c r="O379" s="28">
        <f>2310</f>
        <v>2310</v>
      </c>
      <c r="P379" s="28">
        <f t="shared" si="59"/>
        <v>2310</v>
      </c>
      <c r="Q379" s="28"/>
      <c r="R379" s="28"/>
      <c r="S379" s="28">
        <f t="shared" si="60"/>
        <v>0</v>
      </c>
      <c r="T379" s="28"/>
      <c r="U379" s="28"/>
      <c r="V379" s="28">
        <f t="shared" si="61"/>
        <v>0</v>
      </c>
      <c r="W379" s="28"/>
      <c r="X379" s="28"/>
      <c r="Y379" s="28">
        <f t="shared" si="62"/>
        <v>0</v>
      </c>
      <c r="Z379" s="28"/>
      <c r="AA379" s="28"/>
      <c r="AB379" s="28">
        <f t="shared" si="63"/>
        <v>0</v>
      </c>
    </row>
    <row r="380" spans="1:194" s="22" customFormat="1" ht="31.5" x14ac:dyDescent="0.25">
      <c r="A380" s="27" t="s">
        <v>321</v>
      </c>
      <c r="B380" s="28">
        <f t="shared" si="55"/>
        <v>80340</v>
      </c>
      <c r="C380" s="28">
        <f t="shared" si="55"/>
        <v>80340</v>
      </c>
      <c r="D380" s="28">
        <f t="shared" si="55"/>
        <v>0</v>
      </c>
      <c r="E380" s="28"/>
      <c r="F380" s="28"/>
      <c r="G380" s="28">
        <f t="shared" si="56"/>
        <v>0</v>
      </c>
      <c r="H380" s="28"/>
      <c r="I380" s="28"/>
      <c r="J380" s="28">
        <f t="shared" si="57"/>
        <v>0</v>
      </c>
      <c r="K380" s="28">
        <f>30390+7313</f>
        <v>37703</v>
      </c>
      <c r="L380" s="28">
        <f>30390+7313</f>
        <v>37703</v>
      </c>
      <c r="M380" s="28">
        <f t="shared" si="58"/>
        <v>0</v>
      </c>
      <c r="N380" s="28">
        <f>2000-1020-980</f>
        <v>0</v>
      </c>
      <c r="O380" s="28">
        <f>2000-1020-980</f>
        <v>0</v>
      </c>
      <c r="P380" s="28">
        <f t="shared" si="59"/>
        <v>0</v>
      </c>
      <c r="Q380" s="28"/>
      <c r="R380" s="28"/>
      <c r="S380" s="28">
        <f t="shared" si="60"/>
        <v>0</v>
      </c>
      <c r="T380" s="28">
        <v>29970</v>
      </c>
      <c r="U380" s="28">
        <v>29970</v>
      </c>
      <c r="V380" s="28">
        <f t="shared" si="61"/>
        <v>0</v>
      </c>
      <c r="W380" s="28"/>
      <c r="X380" s="28"/>
      <c r="Y380" s="28">
        <f t="shared" si="62"/>
        <v>0</v>
      </c>
      <c r="Z380" s="28">
        <f>49950-7313-29970</f>
        <v>12667</v>
      </c>
      <c r="AA380" s="28">
        <f>49950-7313-29970</f>
        <v>12667</v>
      </c>
      <c r="AB380" s="28">
        <f t="shared" si="63"/>
        <v>0</v>
      </c>
    </row>
    <row r="381" spans="1:194" s="22" customFormat="1" x14ac:dyDescent="0.25">
      <c r="A381" s="27" t="s">
        <v>322</v>
      </c>
      <c r="B381" s="28">
        <f t="shared" si="55"/>
        <v>4000</v>
      </c>
      <c r="C381" s="28">
        <f t="shared" si="55"/>
        <v>4000</v>
      </c>
      <c r="D381" s="28">
        <f t="shared" si="55"/>
        <v>0</v>
      </c>
      <c r="E381" s="28"/>
      <c r="F381" s="28"/>
      <c r="G381" s="28">
        <f t="shared" si="56"/>
        <v>0</v>
      </c>
      <c r="H381" s="28"/>
      <c r="I381" s="28"/>
      <c r="J381" s="28">
        <f t="shared" si="57"/>
        <v>0</v>
      </c>
      <c r="K381" s="28">
        <v>4000</v>
      </c>
      <c r="L381" s="28">
        <v>4000</v>
      </c>
      <c r="M381" s="28">
        <f t="shared" si="58"/>
        <v>0</v>
      </c>
      <c r="N381" s="28"/>
      <c r="O381" s="28"/>
      <c r="P381" s="28">
        <f t="shared" si="59"/>
        <v>0</v>
      </c>
      <c r="Q381" s="28"/>
      <c r="R381" s="28"/>
      <c r="S381" s="28">
        <f t="shared" si="60"/>
        <v>0</v>
      </c>
      <c r="T381" s="28"/>
      <c r="U381" s="28"/>
      <c r="V381" s="28">
        <f t="shared" si="61"/>
        <v>0</v>
      </c>
      <c r="W381" s="28"/>
      <c r="X381" s="28"/>
      <c r="Y381" s="28">
        <f t="shared" si="62"/>
        <v>0</v>
      </c>
      <c r="Z381" s="28"/>
      <c r="AA381" s="28"/>
      <c r="AB381" s="28">
        <f t="shared" si="63"/>
        <v>0</v>
      </c>
    </row>
    <row r="382" spans="1:194" s="22" customFormat="1" x14ac:dyDescent="0.25">
      <c r="A382" s="24" t="s">
        <v>323</v>
      </c>
      <c r="B382" s="28">
        <f t="shared" si="55"/>
        <v>1100</v>
      </c>
      <c r="C382" s="28">
        <f t="shared" si="55"/>
        <v>1100</v>
      </c>
      <c r="D382" s="28">
        <f t="shared" si="55"/>
        <v>0</v>
      </c>
      <c r="E382" s="28"/>
      <c r="F382" s="28"/>
      <c r="G382" s="28">
        <f t="shared" si="56"/>
        <v>0</v>
      </c>
      <c r="H382" s="28"/>
      <c r="I382" s="28"/>
      <c r="J382" s="28">
        <f t="shared" si="57"/>
        <v>0</v>
      </c>
      <c r="K382" s="28">
        <f>2800-1700</f>
        <v>1100</v>
      </c>
      <c r="L382" s="28">
        <f>2800-1700</f>
        <v>1100</v>
      </c>
      <c r="M382" s="28">
        <f t="shared" si="58"/>
        <v>0</v>
      </c>
      <c r="N382" s="28"/>
      <c r="O382" s="28"/>
      <c r="P382" s="28">
        <f t="shared" si="59"/>
        <v>0</v>
      </c>
      <c r="Q382" s="28"/>
      <c r="R382" s="28"/>
      <c r="S382" s="28">
        <f t="shared" si="60"/>
        <v>0</v>
      </c>
      <c r="T382" s="28"/>
      <c r="U382" s="28"/>
      <c r="V382" s="28">
        <f t="shared" si="61"/>
        <v>0</v>
      </c>
      <c r="W382" s="28"/>
      <c r="X382" s="28"/>
      <c r="Y382" s="28">
        <f t="shared" si="62"/>
        <v>0</v>
      </c>
      <c r="Z382" s="28"/>
      <c r="AA382" s="28"/>
      <c r="AB382" s="28">
        <f t="shared" si="63"/>
        <v>0</v>
      </c>
    </row>
    <row r="383" spans="1:194" s="22" customFormat="1" x14ac:dyDescent="0.25">
      <c r="A383" s="24" t="s">
        <v>324</v>
      </c>
      <c r="B383" s="28">
        <f t="shared" si="55"/>
        <v>27932</v>
      </c>
      <c r="C383" s="28">
        <f t="shared" si="55"/>
        <v>27932</v>
      </c>
      <c r="D383" s="28">
        <f t="shared" si="55"/>
        <v>0</v>
      </c>
      <c r="E383" s="28"/>
      <c r="F383" s="28"/>
      <c r="G383" s="28">
        <f t="shared" si="56"/>
        <v>0</v>
      </c>
      <c r="H383" s="28"/>
      <c r="I383" s="28"/>
      <c r="J383" s="28">
        <f t="shared" si="57"/>
        <v>0</v>
      </c>
      <c r="K383" s="28">
        <v>27932</v>
      </c>
      <c r="L383" s="28">
        <v>27932</v>
      </c>
      <c r="M383" s="28">
        <f t="shared" si="58"/>
        <v>0</v>
      </c>
      <c r="N383" s="28"/>
      <c r="O383" s="28"/>
      <c r="P383" s="28">
        <f t="shared" si="59"/>
        <v>0</v>
      </c>
      <c r="Q383" s="28"/>
      <c r="R383" s="28"/>
      <c r="S383" s="28">
        <f t="shared" si="60"/>
        <v>0</v>
      </c>
      <c r="T383" s="28"/>
      <c r="U383" s="28"/>
      <c r="V383" s="28">
        <f t="shared" si="61"/>
        <v>0</v>
      </c>
      <c r="W383" s="28"/>
      <c r="X383" s="28"/>
      <c r="Y383" s="28">
        <f t="shared" si="62"/>
        <v>0</v>
      </c>
      <c r="Z383" s="28"/>
      <c r="AA383" s="28"/>
      <c r="AB383" s="28">
        <f t="shared" si="63"/>
        <v>0</v>
      </c>
    </row>
    <row r="384" spans="1:194" s="22" customFormat="1" x14ac:dyDescent="0.25">
      <c r="A384" s="24" t="s">
        <v>325</v>
      </c>
      <c r="B384" s="28">
        <f t="shared" si="55"/>
        <v>2602</v>
      </c>
      <c r="C384" s="28">
        <f t="shared" si="55"/>
        <v>2602</v>
      </c>
      <c r="D384" s="28">
        <f t="shared" si="55"/>
        <v>0</v>
      </c>
      <c r="E384" s="28"/>
      <c r="F384" s="28"/>
      <c r="G384" s="28">
        <f t="shared" si="56"/>
        <v>0</v>
      </c>
      <c r="H384" s="28"/>
      <c r="I384" s="28"/>
      <c r="J384" s="28">
        <f t="shared" si="57"/>
        <v>0</v>
      </c>
      <c r="K384" s="42">
        <v>2602</v>
      </c>
      <c r="L384" s="42">
        <v>2602</v>
      </c>
      <c r="M384" s="28">
        <f t="shared" si="58"/>
        <v>0</v>
      </c>
      <c r="N384" s="28"/>
      <c r="O384" s="28"/>
      <c r="P384" s="28">
        <f t="shared" si="59"/>
        <v>0</v>
      </c>
      <c r="Q384" s="28"/>
      <c r="R384" s="28"/>
      <c r="S384" s="28">
        <f t="shared" si="60"/>
        <v>0</v>
      </c>
      <c r="T384" s="28"/>
      <c r="U384" s="28"/>
      <c r="V384" s="28">
        <f t="shared" si="61"/>
        <v>0</v>
      </c>
      <c r="W384" s="28"/>
      <c r="X384" s="28"/>
      <c r="Y384" s="28">
        <f t="shared" si="62"/>
        <v>0</v>
      </c>
      <c r="Z384" s="28"/>
      <c r="AA384" s="28"/>
      <c r="AB384" s="28">
        <f t="shared" si="63"/>
        <v>0</v>
      </c>
    </row>
    <row r="385" spans="1:194" s="22" customFormat="1" x14ac:dyDescent="0.25">
      <c r="A385" s="19" t="s">
        <v>182</v>
      </c>
      <c r="B385" s="20">
        <f t="shared" si="55"/>
        <v>41210</v>
      </c>
      <c r="C385" s="20">
        <f t="shared" si="55"/>
        <v>41210</v>
      </c>
      <c r="D385" s="20">
        <f t="shared" si="55"/>
        <v>0</v>
      </c>
      <c r="E385" s="20">
        <f>SUM(E386:E387)</f>
        <v>0</v>
      </c>
      <c r="F385" s="20">
        <f>SUM(F386:F387)</f>
        <v>0</v>
      </c>
      <c r="G385" s="20">
        <f t="shared" si="56"/>
        <v>0</v>
      </c>
      <c r="H385" s="20">
        <f>SUM(H386:H387)</f>
        <v>0</v>
      </c>
      <c r="I385" s="20">
        <f>SUM(I386:I387)</f>
        <v>0</v>
      </c>
      <c r="J385" s="20">
        <f t="shared" si="57"/>
        <v>0</v>
      </c>
      <c r="K385" s="20">
        <f>SUM(K386:K387)</f>
        <v>41210</v>
      </c>
      <c r="L385" s="20">
        <f>SUM(L386:L387)</f>
        <v>41210</v>
      </c>
      <c r="M385" s="20">
        <f t="shared" si="58"/>
        <v>0</v>
      </c>
      <c r="N385" s="20">
        <f>SUM(N386:N387)</f>
        <v>0</v>
      </c>
      <c r="O385" s="20">
        <f>SUM(O386:O387)</f>
        <v>0</v>
      </c>
      <c r="P385" s="20">
        <f t="shared" si="59"/>
        <v>0</v>
      </c>
      <c r="Q385" s="20">
        <f>SUM(Q386:Q387)</f>
        <v>0</v>
      </c>
      <c r="R385" s="20">
        <f>SUM(R386:R387)</f>
        <v>0</v>
      </c>
      <c r="S385" s="20">
        <f t="shared" si="60"/>
        <v>0</v>
      </c>
      <c r="T385" s="20">
        <f>SUM(T386:T387)</f>
        <v>0</v>
      </c>
      <c r="U385" s="20">
        <f>SUM(U386:U387)</f>
        <v>0</v>
      </c>
      <c r="V385" s="20">
        <f t="shared" si="61"/>
        <v>0</v>
      </c>
      <c r="W385" s="20">
        <f>SUM(W386:W387)</f>
        <v>0</v>
      </c>
      <c r="X385" s="20">
        <f>SUM(X386:X387)</f>
        <v>0</v>
      </c>
      <c r="Y385" s="20">
        <f t="shared" si="62"/>
        <v>0</v>
      </c>
      <c r="Z385" s="20">
        <f>SUM(Z386:Z387)</f>
        <v>0</v>
      </c>
      <c r="AA385" s="20">
        <f>SUM(AA386:AA387)</f>
        <v>0</v>
      </c>
      <c r="AB385" s="20">
        <f t="shared" si="63"/>
        <v>0</v>
      </c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1"/>
      <c r="BM385" s="21"/>
      <c r="BN385" s="21"/>
      <c r="BO385" s="21"/>
      <c r="BP385" s="21"/>
      <c r="BQ385" s="21"/>
      <c r="BR385" s="21"/>
      <c r="BS385" s="21"/>
      <c r="BT385" s="21"/>
      <c r="BU385" s="21"/>
      <c r="BV385" s="21"/>
      <c r="BW385" s="21"/>
      <c r="BX385" s="21"/>
      <c r="BY385" s="21"/>
      <c r="BZ385" s="21"/>
      <c r="CA385" s="21"/>
      <c r="CB385" s="21"/>
      <c r="CC385" s="21"/>
      <c r="CD385" s="21"/>
      <c r="CE385" s="21"/>
      <c r="CF385" s="21"/>
      <c r="CG385" s="21"/>
      <c r="CH385" s="21"/>
      <c r="CI385" s="21"/>
      <c r="CJ385" s="21"/>
      <c r="CK385" s="21"/>
      <c r="CL385" s="21"/>
      <c r="CM385" s="21"/>
      <c r="CN385" s="21"/>
      <c r="CO385" s="21"/>
      <c r="CP385" s="21"/>
      <c r="CQ385" s="21"/>
      <c r="CR385" s="21"/>
      <c r="CS385" s="21"/>
      <c r="CT385" s="21"/>
      <c r="CU385" s="21"/>
      <c r="CV385" s="21"/>
      <c r="CW385" s="21"/>
      <c r="CX385" s="21"/>
      <c r="CY385" s="21"/>
      <c r="CZ385" s="21"/>
      <c r="DA385" s="21"/>
      <c r="DB385" s="21"/>
      <c r="DC385" s="21"/>
      <c r="DD385" s="21"/>
      <c r="DE385" s="21"/>
      <c r="DF385" s="21"/>
      <c r="DG385" s="21"/>
      <c r="DH385" s="21"/>
      <c r="DI385" s="21"/>
      <c r="DJ385" s="21"/>
      <c r="DK385" s="21"/>
      <c r="DL385" s="21"/>
      <c r="DM385" s="21"/>
      <c r="DN385" s="21"/>
      <c r="DO385" s="21"/>
      <c r="DP385" s="21"/>
      <c r="DQ385" s="21"/>
      <c r="DR385" s="21"/>
      <c r="DS385" s="21"/>
      <c r="DT385" s="21"/>
      <c r="DU385" s="21"/>
      <c r="DV385" s="21"/>
      <c r="DW385" s="21"/>
      <c r="DX385" s="21"/>
      <c r="DY385" s="21"/>
      <c r="DZ385" s="21"/>
      <c r="EA385" s="21"/>
      <c r="EB385" s="21"/>
      <c r="EC385" s="21"/>
      <c r="ED385" s="21"/>
      <c r="EE385" s="21"/>
      <c r="EF385" s="21"/>
      <c r="EG385" s="21"/>
      <c r="EH385" s="21"/>
      <c r="EI385" s="21"/>
      <c r="EJ385" s="21"/>
      <c r="EK385" s="21"/>
      <c r="EL385" s="21"/>
      <c r="EM385" s="21"/>
      <c r="EN385" s="21"/>
      <c r="EO385" s="21"/>
      <c r="EP385" s="21"/>
      <c r="EQ385" s="21"/>
      <c r="ER385" s="21"/>
      <c r="ES385" s="21"/>
      <c r="ET385" s="21"/>
      <c r="EU385" s="21"/>
      <c r="EV385" s="21"/>
      <c r="EW385" s="21"/>
      <c r="EX385" s="21"/>
      <c r="EY385" s="21"/>
      <c r="EZ385" s="21"/>
      <c r="FA385" s="21"/>
      <c r="FB385" s="21"/>
      <c r="FC385" s="21"/>
      <c r="FD385" s="21"/>
      <c r="FE385" s="21"/>
      <c r="FF385" s="21"/>
      <c r="FG385" s="21"/>
      <c r="FH385" s="21"/>
      <c r="FI385" s="21"/>
      <c r="FJ385" s="21"/>
      <c r="FK385" s="21"/>
      <c r="FL385" s="21"/>
      <c r="FM385" s="21"/>
      <c r="FN385" s="21"/>
      <c r="FO385" s="21"/>
      <c r="FP385" s="21"/>
      <c r="FQ385" s="21"/>
      <c r="FR385" s="21"/>
      <c r="FS385" s="21"/>
      <c r="FT385" s="21"/>
      <c r="FU385" s="21"/>
      <c r="FV385" s="21"/>
      <c r="FW385" s="21"/>
      <c r="FX385" s="21"/>
      <c r="FY385" s="21"/>
      <c r="FZ385" s="21"/>
      <c r="GA385" s="21"/>
      <c r="GB385" s="21"/>
      <c r="GC385" s="21"/>
      <c r="GD385" s="21"/>
      <c r="GE385" s="21"/>
      <c r="GF385" s="21"/>
      <c r="GG385" s="21"/>
      <c r="GH385" s="21"/>
      <c r="GI385" s="21"/>
      <c r="GJ385" s="21"/>
      <c r="GK385" s="21"/>
      <c r="GL385" s="21"/>
    </row>
    <row r="386" spans="1:194" s="22" customFormat="1" x14ac:dyDescent="0.25">
      <c r="A386" s="27" t="s">
        <v>326</v>
      </c>
      <c r="B386" s="28">
        <f t="shared" si="55"/>
        <v>26210</v>
      </c>
      <c r="C386" s="28">
        <f t="shared" si="55"/>
        <v>26210</v>
      </c>
      <c r="D386" s="28">
        <f t="shared" si="55"/>
        <v>0</v>
      </c>
      <c r="E386" s="28"/>
      <c r="F386" s="28"/>
      <c r="G386" s="28">
        <f t="shared" si="56"/>
        <v>0</v>
      </c>
      <c r="H386" s="28"/>
      <c r="I386" s="28"/>
      <c r="J386" s="28">
        <f t="shared" si="57"/>
        <v>0</v>
      </c>
      <c r="K386" s="28">
        <v>26210</v>
      </c>
      <c r="L386" s="28">
        <v>26210</v>
      </c>
      <c r="M386" s="28">
        <f t="shared" si="58"/>
        <v>0</v>
      </c>
      <c r="N386" s="28"/>
      <c r="O386" s="28"/>
      <c r="P386" s="28">
        <f t="shared" si="59"/>
        <v>0</v>
      </c>
      <c r="Q386" s="28"/>
      <c r="R386" s="28"/>
      <c r="S386" s="28">
        <f t="shared" si="60"/>
        <v>0</v>
      </c>
      <c r="T386" s="28"/>
      <c r="U386" s="28"/>
      <c r="V386" s="28">
        <f t="shared" si="61"/>
        <v>0</v>
      </c>
      <c r="W386" s="28"/>
      <c r="X386" s="28"/>
      <c r="Y386" s="28">
        <f t="shared" si="62"/>
        <v>0</v>
      </c>
      <c r="Z386" s="28"/>
      <c r="AA386" s="28"/>
      <c r="AB386" s="28">
        <f t="shared" si="63"/>
        <v>0</v>
      </c>
    </row>
    <row r="387" spans="1:194" s="22" customFormat="1" x14ac:dyDescent="0.25">
      <c r="A387" s="27" t="s">
        <v>327</v>
      </c>
      <c r="B387" s="28">
        <f t="shared" si="55"/>
        <v>15000</v>
      </c>
      <c r="C387" s="28">
        <f t="shared" si="55"/>
        <v>15000</v>
      </c>
      <c r="D387" s="28">
        <f t="shared" si="55"/>
        <v>0</v>
      </c>
      <c r="E387" s="28"/>
      <c r="F387" s="28"/>
      <c r="G387" s="28">
        <f t="shared" si="56"/>
        <v>0</v>
      </c>
      <c r="H387" s="28"/>
      <c r="I387" s="28"/>
      <c r="J387" s="28">
        <f t="shared" si="57"/>
        <v>0</v>
      </c>
      <c r="K387" s="28">
        <v>15000</v>
      </c>
      <c r="L387" s="28">
        <v>15000</v>
      </c>
      <c r="M387" s="28">
        <f t="shared" si="58"/>
        <v>0</v>
      </c>
      <c r="N387" s="28"/>
      <c r="O387" s="28"/>
      <c r="P387" s="28">
        <f t="shared" si="59"/>
        <v>0</v>
      </c>
      <c r="Q387" s="28"/>
      <c r="R387" s="28"/>
      <c r="S387" s="28">
        <f t="shared" si="60"/>
        <v>0</v>
      </c>
      <c r="T387" s="28"/>
      <c r="U387" s="28"/>
      <c r="V387" s="28">
        <f t="shared" si="61"/>
        <v>0</v>
      </c>
      <c r="W387" s="28"/>
      <c r="X387" s="28"/>
      <c r="Y387" s="28">
        <f t="shared" si="62"/>
        <v>0</v>
      </c>
      <c r="Z387" s="28"/>
      <c r="AA387" s="28"/>
      <c r="AB387" s="28">
        <f t="shared" si="63"/>
        <v>0</v>
      </c>
    </row>
    <row r="388" spans="1:194" s="22" customFormat="1" x14ac:dyDescent="0.25">
      <c r="A388" s="19" t="s">
        <v>216</v>
      </c>
      <c r="B388" s="20">
        <f t="shared" si="55"/>
        <v>24270</v>
      </c>
      <c r="C388" s="20">
        <f t="shared" si="55"/>
        <v>24270</v>
      </c>
      <c r="D388" s="20">
        <f t="shared" si="55"/>
        <v>0</v>
      </c>
      <c r="E388" s="20">
        <f>SUM(E389:E393)</f>
        <v>0</v>
      </c>
      <c r="F388" s="20">
        <f>SUM(F389:F393)</f>
        <v>0</v>
      </c>
      <c r="G388" s="20">
        <f t="shared" si="56"/>
        <v>0</v>
      </c>
      <c r="H388" s="20">
        <f>SUM(H389:H393)</f>
        <v>0</v>
      </c>
      <c r="I388" s="20">
        <f>SUM(I389:I393)</f>
        <v>0</v>
      </c>
      <c r="J388" s="20">
        <f t="shared" si="57"/>
        <v>0</v>
      </c>
      <c r="K388" s="20">
        <f>SUM(K389:K393)</f>
        <v>20650</v>
      </c>
      <c r="L388" s="20">
        <f>SUM(L389:L393)</f>
        <v>20650</v>
      </c>
      <c r="M388" s="20">
        <f t="shared" si="58"/>
        <v>0</v>
      </c>
      <c r="N388" s="20">
        <f>SUM(N389:N393)</f>
        <v>3620</v>
      </c>
      <c r="O388" s="20">
        <f>SUM(O389:O393)</f>
        <v>3620</v>
      </c>
      <c r="P388" s="20">
        <f t="shared" si="59"/>
        <v>0</v>
      </c>
      <c r="Q388" s="20">
        <f>SUM(Q389:Q393)</f>
        <v>0</v>
      </c>
      <c r="R388" s="20">
        <f>SUM(R389:R393)</f>
        <v>0</v>
      </c>
      <c r="S388" s="20">
        <f t="shared" si="60"/>
        <v>0</v>
      </c>
      <c r="T388" s="20">
        <f>SUM(T389:T393)</f>
        <v>0</v>
      </c>
      <c r="U388" s="20">
        <f>SUM(U389:U393)</f>
        <v>0</v>
      </c>
      <c r="V388" s="20">
        <f t="shared" si="61"/>
        <v>0</v>
      </c>
      <c r="W388" s="20">
        <f>SUM(W389:W393)</f>
        <v>0</v>
      </c>
      <c r="X388" s="20">
        <f>SUM(X389:X393)</f>
        <v>0</v>
      </c>
      <c r="Y388" s="20">
        <f t="shared" si="62"/>
        <v>0</v>
      </c>
      <c r="Z388" s="20">
        <f>SUM(Z389:Z393)</f>
        <v>0</v>
      </c>
      <c r="AA388" s="20">
        <f>SUM(AA389:AA393)</f>
        <v>0</v>
      </c>
      <c r="AB388" s="20">
        <f t="shared" si="63"/>
        <v>0</v>
      </c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  <c r="BL388" s="21"/>
      <c r="BM388" s="21"/>
      <c r="BN388" s="21"/>
      <c r="BO388" s="21"/>
      <c r="BP388" s="21"/>
      <c r="BQ388" s="21"/>
      <c r="BR388" s="21"/>
      <c r="BS388" s="21"/>
      <c r="BT388" s="21"/>
      <c r="BU388" s="21"/>
      <c r="BV388" s="21"/>
      <c r="BW388" s="21"/>
      <c r="BX388" s="21"/>
      <c r="BY388" s="21"/>
      <c r="BZ388" s="21"/>
      <c r="CA388" s="21"/>
      <c r="CB388" s="21"/>
      <c r="CC388" s="21"/>
      <c r="CD388" s="21"/>
      <c r="CE388" s="21"/>
      <c r="CF388" s="21"/>
      <c r="CG388" s="21"/>
      <c r="CH388" s="21"/>
      <c r="CI388" s="21"/>
      <c r="CJ388" s="21"/>
      <c r="CK388" s="21"/>
      <c r="CL388" s="21"/>
      <c r="CM388" s="21"/>
      <c r="CN388" s="21"/>
      <c r="CO388" s="21"/>
      <c r="CP388" s="21"/>
      <c r="CQ388" s="21"/>
      <c r="CR388" s="21"/>
      <c r="CS388" s="21"/>
      <c r="CT388" s="21"/>
      <c r="CU388" s="21"/>
      <c r="CV388" s="21"/>
      <c r="CW388" s="21"/>
      <c r="CX388" s="21"/>
      <c r="CY388" s="21"/>
      <c r="CZ388" s="21"/>
      <c r="DA388" s="21"/>
      <c r="DB388" s="21"/>
      <c r="DC388" s="21"/>
      <c r="DD388" s="21"/>
      <c r="DE388" s="21"/>
      <c r="DF388" s="21"/>
      <c r="DG388" s="21"/>
      <c r="DH388" s="21"/>
      <c r="DI388" s="21"/>
      <c r="DJ388" s="21"/>
      <c r="DK388" s="21"/>
      <c r="DL388" s="21"/>
      <c r="DM388" s="21"/>
      <c r="DN388" s="21"/>
      <c r="DO388" s="21"/>
      <c r="DP388" s="21"/>
      <c r="DQ388" s="21"/>
      <c r="DR388" s="21"/>
      <c r="DS388" s="21"/>
      <c r="DT388" s="21"/>
      <c r="DU388" s="21"/>
      <c r="DV388" s="21"/>
      <c r="DW388" s="21"/>
      <c r="DX388" s="21"/>
      <c r="DY388" s="21"/>
      <c r="DZ388" s="21"/>
      <c r="EA388" s="21"/>
      <c r="EB388" s="21"/>
      <c r="EC388" s="21"/>
      <c r="ED388" s="21"/>
      <c r="EE388" s="21"/>
      <c r="EF388" s="21"/>
      <c r="EG388" s="21"/>
      <c r="EH388" s="21"/>
      <c r="EI388" s="21"/>
      <c r="EJ388" s="21"/>
      <c r="EK388" s="21"/>
      <c r="EL388" s="21"/>
      <c r="EM388" s="21"/>
      <c r="EN388" s="21"/>
      <c r="EO388" s="21"/>
      <c r="EP388" s="21"/>
      <c r="EQ388" s="21"/>
      <c r="ER388" s="21"/>
      <c r="ES388" s="21"/>
      <c r="ET388" s="21"/>
      <c r="EU388" s="21"/>
      <c r="EV388" s="21"/>
      <c r="EW388" s="21"/>
      <c r="EX388" s="21"/>
      <c r="EY388" s="21"/>
      <c r="EZ388" s="21"/>
      <c r="FA388" s="21"/>
      <c r="FB388" s="21"/>
      <c r="FC388" s="21"/>
      <c r="FD388" s="21"/>
      <c r="FE388" s="21"/>
      <c r="FF388" s="21"/>
      <c r="FG388" s="21"/>
      <c r="FH388" s="21"/>
      <c r="FI388" s="21"/>
      <c r="FJ388" s="21"/>
      <c r="FK388" s="21"/>
      <c r="FL388" s="21"/>
      <c r="FM388" s="21"/>
      <c r="FN388" s="21"/>
      <c r="FO388" s="21"/>
      <c r="FP388" s="21"/>
      <c r="FQ388" s="21"/>
      <c r="FR388" s="21"/>
      <c r="FS388" s="21"/>
      <c r="FT388" s="21"/>
      <c r="FU388" s="21"/>
      <c r="FV388" s="21"/>
      <c r="FW388" s="21"/>
      <c r="FX388" s="21"/>
      <c r="FY388" s="21"/>
      <c r="FZ388" s="21"/>
      <c r="GA388" s="21"/>
      <c r="GB388" s="21"/>
      <c r="GC388" s="21"/>
      <c r="GD388" s="21"/>
      <c r="GE388" s="21"/>
      <c r="GF388" s="21"/>
      <c r="GG388" s="21"/>
      <c r="GH388" s="21"/>
      <c r="GI388" s="21"/>
      <c r="GJ388" s="21"/>
      <c r="GK388" s="21"/>
      <c r="GL388" s="21"/>
    </row>
    <row r="389" spans="1:194" s="22" customFormat="1" x14ac:dyDescent="0.25">
      <c r="A389" s="24" t="s">
        <v>328</v>
      </c>
      <c r="B389" s="28">
        <f t="shared" si="55"/>
        <v>4100</v>
      </c>
      <c r="C389" s="28">
        <f t="shared" si="55"/>
        <v>4100</v>
      </c>
      <c r="D389" s="28">
        <f t="shared" si="55"/>
        <v>0</v>
      </c>
      <c r="E389" s="28"/>
      <c r="F389" s="28"/>
      <c r="G389" s="28">
        <f t="shared" si="56"/>
        <v>0</v>
      </c>
      <c r="H389" s="28"/>
      <c r="I389" s="28"/>
      <c r="J389" s="28">
        <f t="shared" si="57"/>
        <v>0</v>
      </c>
      <c r="K389" s="28">
        <v>4100</v>
      </c>
      <c r="L389" s="28">
        <v>4100</v>
      </c>
      <c r="M389" s="28">
        <f t="shared" si="58"/>
        <v>0</v>
      </c>
      <c r="N389" s="28"/>
      <c r="O389" s="28"/>
      <c r="P389" s="28">
        <f t="shared" si="59"/>
        <v>0</v>
      </c>
      <c r="Q389" s="28"/>
      <c r="R389" s="28"/>
      <c r="S389" s="28">
        <f t="shared" si="60"/>
        <v>0</v>
      </c>
      <c r="T389" s="28"/>
      <c r="U389" s="28"/>
      <c r="V389" s="28">
        <f t="shared" si="61"/>
        <v>0</v>
      </c>
      <c r="W389" s="28"/>
      <c r="X389" s="28"/>
      <c r="Y389" s="28">
        <f t="shared" si="62"/>
        <v>0</v>
      </c>
      <c r="Z389" s="28"/>
      <c r="AA389" s="28"/>
      <c r="AB389" s="28">
        <f t="shared" si="63"/>
        <v>0</v>
      </c>
    </row>
    <row r="390" spans="1:194" s="22" customFormat="1" x14ac:dyDescent="0.25">
      <c r="A390" s="24" t="s">
        <v>329</v>
      </c>
      <c r="B390" s="28">
        <f t="shared" si="55"/>
        <v>1350</v>
      </c>
      <c r="C390" s="28">
        <f t="shared" si="55"/>
        <v>1350</v>
      </c>
      <c r="D390" s="28">
        <f t="shared" si="55"/>
        <v>0</v>
      </c>
      <c r="E390" s="28"/>
      <c r="F390" s="28"/>
      <c r="G390" s="28">
        <f t="shared" si="56"/>
        <v>0</v>
      </c>
      <c r="H390" s="28"/>
      <c r="I390" s="28"/>
      <c r="J390" s="28">
        <f t="shared" si="57"/>
        <v>0</v>
      </c>
      <c r="K390" s="28">
        <v>1350</v>
      </c>
      <c r="L390" s="28">
        <v>1350</v>
      </c>
      <c r="M390" s="28">
        <f t="shared" si="58"/>
        <v>0</v>
      </c>
      <c r="N390" s="28"/>
      <c r="O390" s="28"/>
      <c r="P390" s="28">
        <f t="shared" si="59"/>
        <v>0</v>
      </c>
      <c r="Q390" s="28"/>
      <c r="R390" s="28"/>
      <c r="S390" s="28">
        <f t="shared" si="60"/>
        <v>0</v>
      </c>
      <c r="T390" s="28"/>
      <c r="U390" s="28"/>
      <c r="V390" s="28">
        <f t="shared" si="61"/>
        <v>0</v>
      </c>
      <c r="W390" s="28"/>
      <c r="X390" s="28"/>
      <c r="Y390" s="28">
        <f t="shared" si="62"/>
        <v>0</v>
      </c>
      <c r="Z390" s="28"/>
      <c r="AA390" s="28"/>
      <c r="AB390" s="28">
        <f t="shared" si="63"/>
        <v>0</v>
      </c>
    </row>
    <row r="391" spans="1:194" s="22" customFormat="1" ht="31.5" x14ac:dyDescent="0.25">
      <c r="A391" s="27" t="s">
        <v>330</v>
      </c>
      <c r="B391" s="28">
        <f t="shared" si="55"/>
        <v>14520</v>
      </c>
      <c r="C391" s="28">
        <f t="shared" si="55"/>
        <v>14520</v>
      </c>
      <c r="D391" s="28">
        <f t="shared" si="55"/>
        <v>0</v>
      </c>
      <c r="E391" s="28"/>
      <c r="F391" s="28"/>
      <c r="G391" s="28">
        <f t="shared" si="56"/>
        <v>0</v>
      </c>
      <c r="H391" s="28"/>
      <c r="I391" s="28"/>
      <c r="J391" s="28">
        <f t="shared" si="57"/>
        <v>0</v>
      </c>
      <c r="K391" s="28">
        <v>13500</v>
      </c>
      <c r="L391" s="28">
        <v>13500</v>
      </c>
      <c r="M391" s="28">
        <f t="shared" si="58"/>
        <v>0</v>
      </c>
      <c r="N391" s="28">
        <v>1020</v>
      </c>
      <c r="O391" s="28">
        <v>1020</v>
      </c>
      <c r="P391" s="28">
        <f t="shared" si="59"/>
        <v>0</v>
      </c>
      <c r="Q391" s="28"/>
      <c r="R391" s="28"/>
      <c r="S391" s="28">
        <f t="shared" si="60"/>
        <v>0</v>
      </c>
      <c r="T391" s="28"/>
      <c r="U391" s="28"/>
      <c r="V391" s="28">
        <f t="shared" si="61"/>
        <v>0</v>
      </c>
      <c r="W391" s="28"/>
      <c r="X391" s="28"/>
      <c r="Y391" s="28">
        <f t="shared" si="62"/>
        <v>0</v>
      </c>
      <c r="Z391" s="28"/>
      <c r="AA391" s="28"/>
      <c r="AB391" s="28">
        <f t="shared" si="63"/>
        <v>0</v>
      </c>
    </row>
    <row r="392" spans="1:194" s="22" customFormat="1" x14ac:dyDescent="0.25">
      <c r="A392" s="24" t="s">
        <v>331</v>
      </c>
      <c r="B392" s="28">
        <f t="shared" si="55"/>
        <v>2600</v>
      </c>
      <c r="C392" s="28">
        <f t="shared" si="55"/>
        <v>2600</v>
      </c>
      <c r="D392" s="28">
        <f t="shared" si="55"/>
        <v>0</v>
      </c>
      <c r="E392" s="28"/>
      <c r="F392" s="28"/>
      <c r="G392" s="28">
        <f t="shared" si="56"/>
        <v>0</v>
      </c>
      <c r="H392" s="28"/>
      <c r="I392" s="28"/>
      <c r="J392" s="28">
        <f t="shared" si="57"/>
        <v>0</v>
      </c>
      <c r="K392" s="28"/>
      <c r="L392" s="28"/>
      <c r="M392" s="28">
        <f t="shared" si="58"/>
        <v>0</v>
      </c>
      <c r="N392" s="28">
        <v>2600</v>
      </c>
      <c r="O392" s="28">
        <v>2600</v>
      </c>
      <c r="P392" s="28">
        <f t="shared" si="59"/>
        <v>0</v>
      </c>
      <c r="Q392" s="28"/>
      <c r="R392" s="28"/>
      <c r="S392" s="28">
        <f t="shared" si="60"/>
        <v>0</v>
      </c>
      <c r="T392" s="28"/>
      <c r="U392" s="28"/>
      <c r="V392" s="28">
        <f t="shared" si="61"/>
        <v>0</v>
      </c>
      <c r="W392" s="28"/>
      <c r="X392" s="28"/>
      <c r="Y392" s="28">
        <f t="shared" si="62"/>
        <v>0</v>
      </c>
      <c r="Z392" s="28"/>
      <c r="AA392" s="28"/>
      <c r="AB392" s="28">
        <f t="shared" si="63"/>
        <v>0</v>
      </c>
    </row>
    <row r="393" spans="1:194" s="22" customFormat="1" x14ac:dyDescent="0.25">
      <c r="A393" s="24" t="s">
        <v>332</v>
      </c>
      <c r="B393" s="28">
        <f t="shared" si="55"/>
        <v>1700</v>
      </c>
      <c r="C393" s="28">
        <f t="shared" si="55"/>
        <v>1700</v>
      </c>
      <c r="D393" s="28">
        <f t="shared" si="55"/>
        <v>0</v>
      </c>
      <c r="E393" s="28"/>
      <c r="F393" s="28"/>
      <c r="G393" s="28">
        <f t="shared" si="56"/>
        <v>0</v>
      </c>
      <c r="H393" s="28"/>
      <c r="I393" s="28"/>
      <c r="J393" s="28">
        <f t="shared" si="57"/>
        <v>0</v>
      </c>
      <c r="K393" s="28">
        <v>1700</v>
      </c>
      <c r="L393" s="28">
        <v>1700</v>
      </c>
      <c r="M393" s="28">
        <f t="shared" si="58"/>
        <v>0</v>
      </c>
      <c r="N393" s="28"/>
      <c r="O393" s="28"/>
      <c r="P393" s="28">
        <f t="shared" si="59"/>
        <v>0</v>
      </c>
      <c r="Q393" s="28"/>
      <c r="R393" s="28"/>
      <c r="S393" s="28">
        <f t="shared" si="60"/>
        <v>0</v>
      </c>
      <c r="T393" s="28"/>
      <c r="U393" s="28"/>
      <c r="V393" s="28">
        <f t="shared" si="61"/>
        <v>0</v>
      </c>
      <c r="W393" s="28"/>
      <c r="X393" s="28"/>
      <c r="Y393" s="28">
        <f t="shared" si="62"/>
        <v>0</v>
      </c>
      <c r="Z393" s="28"/>
      <c r="AA393" s="28"/>
      <c r="AB393" s="28">
        <f t="shared" si="63"/>
        <v>0</v>
      </c>
    </row>
    <row r="394" spans="1:194" s="22" customFormat="1" x14ac:dyDescent="0.25">
      <c r="A394" s="19" t="s">
        <v>188</v>
      </c>
      <c r="B394" s="20">
        <f t="shared" si="55"/>
        <v>47014</v>
      </c>
      <c r="C394" s="20">
        <f t="shared" si="55"/>
        <v>47014</v>
      </c>
      <c r="D394" s="20">
        <f t="shared" si="55"/>
        <v>0</v>
      </c>
      <c r="E394" s="20">
        <f>SUM(E395:E398)</f>
        <v>0</v>
      </c>
      <c r="F394" s="20">
        <f>SUM(F395:F398)</f>
        <v>4962</v>
      </c>
      <c r="G394" s="20">
        <f t="shared" si="56"/>
        <v>4962</v>
      </c>
      <c r="H394" s="20">
        <f>SUM(H395:H398)</f>
        <v>0</v>
      </c>
      <c r="I394" s="20">
        <f>SUM(I395:I398)</f>
        <v>0</v>
      </c>
      <c r="J394" s="20">
        <f t="shared" si="57"/>
        <v>0</v>
      </c>
      <c r="K394" s="20">
        <f>SUM(K395:K398)</f>
        <v>37462</v>
      </c>
      <c r="L394" s="20">
        <f>SUM(L395:L398)</f>
        <v>32500</v>
      </c>
      <c r="M394" s="20">
        <f t="shared" si="58"/>
        <v>-4962</v>
      </c>
      <c r="N394" s="20">
        <f>SUM(N395:N398)</f>
        <v>0</v>
      </c>
      <c r="O394" s="20">
        <f>SUM(O395:O398)</f>
        <v>0</v>
      </c>
      <c r="P394" s="20">
        <f t="shared" si="59"/>
        <v>0</v>
      </c>
      <c r="Q394" s="20">
        <f>SUM(Q395:Q398)</f>
        <v>0</v>
      </c>
      <c r="R394" s="20">
        <f>SUM(R395:R398)</f>
        <v>0</v>
      </c>
      <c r="S394" s="20">
        <f t="shared" si="60"/>
        <v>0</v>
      </c>
      <c r="T394" s="20">
        <f>SUM(T395:T398)</f>
        <v>9552</v>
      </c>
      <c r="U394" s="20">
        <f>SUM(U395:U398)</f>
        <v>9552</v>
      </c>
      <c r="V394" s="20">
        <f t="shared" si="61"/>
        <v>0</v>
      </c>
      <c r="W394" s="20">
        <f>SUM(W395:W398)</f>
        <v>0</v>
      </c>
      <c r="X394" s="20">
        <f>SUM(X395:X398)</f>
        <v>0</v>
      </c>
      <c r="Y394" s="20">
        <f t="shared" si="62"/>
        <v>0</v>
      </c>
      <c r="Z394" s="20">
        <f>SUM(Z395:Z398)</f>
        <v>0</v>
      </c>
      <c r="AA394" s="20">
        <f>SUM(AA395:AA398)</f>
        <v>0</v>
      </c>
      <c r="AB394" s="20">
        <f t="shared" si="63"/>
        <v>0</v>
      </c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  <c r="BO394" s="21"/>
      <c r="BP394" s="21"/>
      <c r="BQ394" s="21"/>
      <c r="BR394" s="21"/>
      <c r="BS394" s="21"/>
      <c r="BT394" s="21"/>
      <c r="BU394" s="21"/>
      <c r="BV394" s="21"/>
      <c r="BW394" s="21"/>
      <c r="BX394" s="21"/>
      <c r="BY394" s="21"/>
      <c r="BZ394" s="21"/>
      <c r="CA394" s="21"/>
      <c r="CB394" s="21"/>
      <c r="CC394" s="21"/>
      <c r="CD394" s="21"/>
      <c r="CE394" s="21"/>
      <c r="CF394" s="21"/>
      <c r="CG394" s="21"/>
      <c r="CH394" s="21"/>
      <c r="CI394" s="21"/>
      <c r="CJ394" s="21"/>
      <c r="CK394" s="21"/>
      <c r="CL394" s="21"/>
      <c r="CM394" s="21"/>
      <c r="CN394" s="21"/>
      <c r="CO394" s="21"/>
      <c r="CP394" s="21"/>
      <c r="CQ394" s="21"/>
      <c r="CR394" s="21"/>
      <c r="CS394" s="21"/>
      <c r="CT394" s="21"/>
      <c r="CU394" s="21"/>
      <c r="CV394" s="21"/>
      <c r="CW394" s="21"/>
      <c r="CX394" s="21"/>
      <c r="CY394" s="21"/>
      <c r="CZ394" s="21"/>
      <c r="DA394" s="21"/>
      <c r="DB394" s="21"/>
      <c r="DC394" s="21"/>
      <c r="DD394" s="21"/>
      <c r="DE394" s="21"/>
      <c r="DF394" s="21"/>
      <c r="DG394" s="21"/>
      <c r="DH394" s="21"/>
      <c r="DI394" s="21"/>
      <c r="DJ394" s="21"/>
      <c r="DK394" s="21"/>
      <c r="DL394" s="21"/>
      <c r="DM394" s="21"/>
      <c r="DN394" s="21"/>
      <c r="DO394" s="21"/>
      <c r="DP394" s="21"/>
      <c r="DQ394" s="21"/>
      <c r="DR394" s="21"/>
      <c r="DS394" s="21"/>
      <c r="DT394" s="21"/>
      <c r="DU394" s="21"/>
      <c r="DV394" s="21"/>
      <c r="DW394" s="21"/>
      <c r="DX394" s="21"/>
      <c r="DY394" s="21"/>
      <c r="DZ394" s="21"/>
      <c r="EA394" s="21"/>
      <c r="EB394" s="21"/>
      <c r="EC394" s="21"/>
      <c r="ED394" s="21"/>
      <c r="EE394" s="21"/>
      <c r="EF394" s="21"/>
      <c r="EG394" s="21"/>
      <c r="EH394" s="21"/>
      <c r="EI394" s="21"/>
      <c r="EJ394" s="21"/>
      <c r="EK394" s="21"/>
      <c r="EL394" s="21"/>
      <c r="EM394" s="21"/>
      <c r="EN394" s="21"/>
      <c r="EO394" s="21"/>
      <c r="EP394" s="21"/>
      <c r="EQ394" s="21"/>
      <c r="ER394" s="21"/>
      <c r="ES394" s="21"/>
      <c r="ET394" s="21"/>
      <c r="EU394" s="21"/>
      <c r="EV394" s="21"/>
      <c r="EW394" s="21"/>
      <c r="EX394" s="21"/>
      <c r="EY394" s="21"/>
      <c r="EZ394" s="21"/>
      <c r="FA394" s="21"/>
      <c r="FB394" s="21"/>
      <c r="FC394" s="21"/>
      <c r="FD394" s="21"/>
      <c r="FE394" s="21"/>
      <c r="FF394" s="21"/>
      <c r="FG394" s="21"/>
      <c r="FH394" s="21"/>
      <c r="FI394" s="21"/>
      <c r="FJ394" s="21"/>
      <c r="FK394" s="21"/>
      <c r="FL394" s="21"/>
      <c r="FM394" s="21"/>
      <c r="FN394" s="21"/>
      <c r="FO394" s="21"/>
      <c r="FP394" s="21"/>
      <c r="FQ394" s="21"/>
      <c r="FR394" s="21"/>
      <c r="FS394" s="21"/>
      <c r="FT394" s="21"/>
      <c r="FU394" s="21"/>
      <c r="FV394" s="21"/>
      <c r="FW394" s="21"/>
      <c r="FX394" s="21"/>
      <c r="FY394" s="21"/>
      <c r="FZ394" s="21"/>
      <c r="GA394" s="21"/>
      <c r="GB394" s="21"/>
      <c r="GC394" s="21"/>
      <c r="GD394" s="21"/>
      <c r="GE394" s="21"/>
      <c r="GF394" s="21"/>
      <c r="GG394" s="21"/>
      <c r="GH394" s="21"/>
      <c r="GI394" s="21"/>
      <c r="GJ394" s="21"/>
      <c r="GK394" s="21"/>
      <c r="GL394" s="21"/>
    </row>
    <row r="395" spans="1:194" s="22" customFormat="1" ht="31.5" x14ac:dyDescent="0.25">
      <c r="A395" s="27" t="s">
        <v>333</v>
      </c>
      <c r="B395" s="28">
        <f t="shared" si="55"/>
        <v>5500</v>
      </c>
      <c r="C395" s="28">
        <f t="shared" si="55"/>
        <v>5500</v>
      </c>
      <c r="D395" s="28">
        <f t="shared" si="55"/>
        <v>0</v>
      </c>
      <c r="E395" s="28"/>
      <c r="F395" s="28"/>
      <c r="G395" s="28">
        <f t="shared" si="56"/>
        <v>0</v>
      </c>
      <c r="H395" s="28"/>
      <c r="I395" s="28"/>
      <c r="J395" s="28">
        <f t="shared" si="57"/>
        <v>0</v>
      </c>
      <c r="K395" s="28">
        <v>5500</v>
      </c>
      <c r="L395" s="28">
        <v>5500</v>
      </c>
      <c r="M395" s="28">
        <f t="shared" si="58"/>
        <v>0</v>
      </c>
      <c r="N395" s="28"/>
      <c r="O395" s="28"/>
      <c r="P395" s="28">
        <f t="shared" si="59"/>
        <v>0</v>
      </c>
      <c r="Q395" s="28"/>
      <c r="R395" s="28"/>
      <c r="S395" s="28">
        <f t="shared" si="60"/>
        <v>0</v>
      </c>
      <c r="T395" s="28"/>
      <c r="U395" s="28"/>
      <c r="V395" s="28">
        <f t="shared" si="61"/>
        <v>0</v>
      </c>
      <c r="W395" s="28"/>
      <c r="X395" s="28"/>
      <c r="Y395" s="28">
        <f t="shared" si="62"/>
        <v>0</v>
      </c>
      <c r="Z395" s="28"/>
      <c r="AA395" s="28"/>
      <c r="AB395" s="28">
        <f t="shared" si="63"/>
        <v>0</v>
      </c>
      <c r="FS395" s="21"/>
      <c r="FT395" s="21"/>
      <c r="FU395" s="21"/>
      <c r="FV395" s="21"/>
      <c r="FW395" s="21"/>
      <c r="FX395" s="21"/>
      <c r="FY395" s="21"/>
      <c r="FZ395" s="21"/>
      <c r="GA395" s="21"/>
      <c r="GB395" s="21"/>
      <c r="GC395" s="21"/>
      <c r="GD395" s="21"/>
      <c r="GE395" s="21"/>
      <c r="GF395" s="21"/>
      <c r="GG395" s="21"/>
      <c r="GH395" s="21"/>
      <c r="GI395" s="21"/>
      <c r="GJ395" s="21"/>
      <c r="GK395" s="21"/>
      <c r="GL395" s="21"/>
    </row>
    <row r="396" spans="1:194" s="22" customFormat="1" ht="31.5" x14ac:dyDescent="0.25">
      <c r="A396" s="27" t="s">
        <v>334</v>
      </c>
      <c r="B396" s="28">
        <f t="shared" si="55"/>
        <v>4962</v>
      </c>
      <c r="C396" s="28">
        <f t="shared" si="55"/>
        <v>4962</v>
      </c>
      <c r="D396" s="28">
        <f t="shared" si="55"/>
        <v>0</v>
      </c>
      <c r="E396" s="28">
        <f>0</f>
        <v>0</v>
      </c>
      <c r="F396" s="28">
        <f>4962</f>
        <v>4962</v>
      </c>
      <c r="G396" s="28">
        <f t="shared" si="56"/>
        <v>4962</v>
      </c>
      <c r="H396" s="28"/>
      <c r="I396" s="28"/>
      <c r="J396" s="28">
        <f t="shared" si="57"/>
        <v>0</v>
      </c>
      <c r="K396" s="28">
        <v>4962</v>
      </c>
      <c r="L396" s="28">
        <f>4962-4962</f>
        <v>0</v>
      </c>
      <c r="M396" s="28">
        <f t="shared" si="58"/>
        <v>-4962</v>
      </c>
      <c r="N396" s="28"/>
      <c r="O396" s="28"/>
      <c r="P396" s="28">
        <f t="shared" si="59"/>
        <v>0</v>
      </c>
      <c r="Q396" s="28"/>
      <c r="R396" s="28"/>
      <c r="S396" s="28">
        <f t="shared" si="60"/>
        <v>0</v>
      </c>
      <c r="T396" s="28"/>
      <c r="U396" s="28"/>
      <c r="V396" s="28">
        <f t="shared" si="61"/>
        <v>0</v>
      </c>
      <c r="W396" s="28"/>
      <c r="X396" s="28"/>
      <c r="Y396" s="28">
        <f t="shared" si="62"/>
        <v>0</v>
      </c>
      <c r="Z396" s="28"/>
      <c r="AA396" s="28"/>
      <c r="AB396" s="28">
        <f t="shared" si="63"/>
        <v>0</v>
      </c>
      <c r="FS396" s="21"/>
      <c r="FT396" s="21"/>
      <c r="FU396" s="21"/>
      <c r="FV396" s="21"/>
      <c r="FW396" s="21"/>
      <c r="FX396" s="21"/>
      <c r="FY396" s="21"/>
      <c r="FZ396" s="21"/>
      <c r="GA396" s="21"/>
      <c r="GB396" s="21"/>
      <c r="GC396" s="21"/>
      <c r="GD396" s="21"/>
      <c r="GE396" s="21"/>
      <c r="GF396" s="21"/>
      <c r="GG396" s="21"/>
      <c r="GH396" s="21"/>
      <c r="GI396" s="21"/>
      <c r="GJ396" s="21"/>
      <c r="GK396" s="21"/>
      <c r="GL396" s="21"/>
    </row>
    <row r="397" spans="1:194" s="22" customFormat="1" x14ac:dyDescent="0.25">
      <c r="A397" s="27" t="s">
        <v>335</v>
      </c>
      <c r="B397" s="28">
        <f t="shared" si="55"/>
        <v>9552</v>
      </c>
      <c r="C397" s="28">
        <f t="shared" si="55"/>
        <v>9552</v>
      </c>
      <c r="D397" s="28">
        <f t="shared" si="55"/>
        <v>0</v>
      </c>
      <c r="E397" s="28"/>
      <c r="F397" s="28"/>
      <c r="G397" s="28">
        <f t="shared" si="56"/>
        <v>0</v>
      </c>
      <c r="H397" s="28"/>
      <c r="I397" s="28"/>
      <c r="J397" s="28">
        <f t="shared" si="57"/>
        <v>0</v>
      </c>
      <c r="K397" s="28"/>
      <c r="L397" s="28"/>
      <c r="M397" s="28">
        <f t="shared" si="58"/>
        <v>0</v>
      </c>
      <c r="N397" s="28"/>
      <c r="O397" s="28"/>
      <c r="P397" s="28">
        <f t="shared" si="59"/>
        <v>0</v>
      </c>
      <c r="Q397" s="28"/>
      <c r="R397" s="28"/>
      <c r="S397" s="28">
        <f t="shared" si="60"/>
        <v>0</v>
      </c>
      <c r="T397" s="28">
        <v>9552</v>
      </c>
      <c r="U397" s="28">
        <v>9552</v>
      </c>
      <c r="V397" s="28">
        <f t="shared" si="61"/>
        <v>0</v>
      </c>
      <c r="W397" s="28"/>
      <c r="X397" s="28"/>
      <c r="Y397" s="28">
        <f t="shared" si="62"/>
        <v>0</v>
      </c>
      <c r="Z397" s="28"/>
      <c r="AA397" s="28"/>
      <c r="AB397" s="28">
        <f t="shared" si="63"/>
        <v>0</v>
      </c>
    </row>
    <row r="398" spans="1:194" s="22" customFormat="1" ht="31.5" x14ac:dyDescent="0.25">
      <c r="A398" s="27" t="s">
        <v>336</v>
      </c>
      <c r="B398" s="28">
        <f t="shared" si="55"/>
        <v>27000</v>
      </c>
      <c r="C398" s="28">
        <f t="shared" si="55"/>
        <v>27000</v>
      </c>
      <c r="D398" s="28">
        <f t="shared" si="55"/>
        <v>0</v>
      </c>
      <c r="E398" s="28"/>
      <c r="F398" s="28"/>
      <c r="G398" s="28">
        <f t="shared" si="56"/>
        <v>0</v>
      </c>
      <c r="H398" s="28"/>
      <c r="I398" s="28"/>
      <c r="J398" s="28">
        <f t="shared" si="57"/>
        <v>0</v>
      </c>
      <c r="K398" s="28">
        <v>27000</v>
      </c>
      <c r="L398" s="28">
        <v>27000</v>
      </c>
      <c r="M398" s="28">
        <f t="shared" si="58"/>
        <v>0</v>
      </c>
      <c r="N398" s="28"/>
      <c r="O398" s="28"/>
      <c r="P398" s="28">
        <f t="shared" si="59"/>
        <v>0</v>
      </c>
      <c r="Q398" s="28"/>
      <c r="R398" s="28"/>
      <c r="S398" s="28">
        <f t="shared" si="60"/>
        <v>0</v>
      </c>
      <c r="T398" s="28"/>
      <c r="U398" s="28"/>
      <c r="V398" s="28">
        <f t="shared" si="61"/>
        <v>0</v>
      </c>
      <c r="W398" s="28"/>
      <c r="X398" s="28"/>
      <c r="Y398" s="28">
        <f t="shared" si="62"/>
        <v>0</v>
      </c>
      <c r="Z398" s="28"/>
      <c r="AA398" s="28"/>
      <c r="AB398" s="28">
        <f t="shared" si="63"/>
        <v>0</v>
      </c>
      <c r="FS398" s="21"/>
      <c r="FT398" s="21"/>
      <c r="FU398" s="21"/>
      <c r="FV398" s="21"/>
      <c r="FW398" s="21"/>
      <c r="FX398" s="21"/>
      <c r="FY398" s="21"/>
      <c r="FZ398" s="21"/>
      <c r="GA398" s="21"/>
      <c r="GB398" s="21"/>
      <c r="GC398" s="21"/>
      <c r="GD398" s="21"/>
      <c r="GE398" s="21"/>
      <c r="GF398" s="21"/>
      <c r="GG398" s="21"/>
      <c r="GH398" s="21"/>
      <c r="GI398" s="21"/>
      <c r="GJ398" s="21"/>
      <c r="GK398" s="21"/>
      <c r="GL398" s="21"/>
    </row>
    <row r="399" spans="1:194" s="22" customFormat="1" x14ac:dyDescent="0.25">
      <c r="A399" s="19" t="s">
        <v>184</v>
      </c>
      <c r="B399" s="20">
        <f t="shared" si="55"/>
        <v>62000</v>
      </c>
      <c r="C399" s="20">
        <f t="shared" si="55"/>
        <v>62000</v>
      </c>
      <c r="D399" s="20">
        <f t="shared" si="55"/>
        <v>0</v>
      </c>
      <c r="E399" s="20">
        <f>SUM(E400:E400)</f>
        <v>0</v>
      </c>
      <c r="F399" s="20">
        <f>SUM(F400:F400)</f>
        <v>0</v>
      </c>
      <c r="G399" s="20">
        <f t="shared" si="56"/>
        <v>0</v>
      </c>
      <c r="H399" s="20">
        <f>SUM(H400:H400)</f>
        <v>0</v>
      </c>
      <c r="I399" s="20">
        <f>SUM(I400:I400)</f>
        <v>0</v>
      </c>
      <c r="J399" s="20">
        <f t="shared" si="57"/>
        <v>0</v>
      </c>
      <c r="K399" s="20">
        <f>SUM(K400:K400)</f>
        <v>62000</v>
      </c>
      <c r="L399" s="20">
        <f>SUM(L400:L400)</f>
        <v>62000</v>
      </c>
      <c r="M399" s="20">
        <f t="shared" si="58"/>
        <v>0</v>
      </c>
      <c r="N399" s="20">
        <f>SUM(N400:N400)</f>
        <v>0</v>
      </c>
      <c r="O399" s="20">
        <f>SUM(O400:O400)</f>
        <v>0</v>
      </c>
      <c r="P399" s="20">
        <f t="shared" si="59"/>
        <v>0</v>
      </c>
      <c r="Q399" s="20">
        <f>SUM(Q400:Q400)</f>
        <v>0</v>
      </c>
      <c r="R399" s="20">
        <f>SUM(R400:R400)</f>
        <v>0</v>
      </c>
      <c r="S399" s="20">
        <f t="shared" si="60"/>
        <v>0</v>
      </c>
      <c r="T399" s="20">
        <f>SUM(T400:T400)</f>
        <v>0</v>
      </c>
      <c r="U399" s="20">
        <f>SUM(U400:U400)</f>
        <v>0</v>
      </c>
      <c r="V399" s="20">
        <f t="shared" si="61"/>
        <v>0</v>
      </c>
      <c r="W399" s="20">
        <f>SUM(W400:W400)</f>
        <v>0</v>
      </c>
      <c r="X399" s="20">
        <f>SUM(X400:X400)</f>
        <v>0</v>
      </c>
      <c r="Y399" s="20">
        <f t="shared" si="62"/>
        <v>0</v>
      </c>
      <c r="Z399" s="20">
        <f>SUM(Z400:Z400)</f>
        <v>0</v>
      </c>
      <c r="AA399" s="20">
        <f>SUM(AA400:AA400)</f>
        <v>0</v>
      </c>
      <c r="AB399" s="20">
        <f t="shared" si="63"/>
        <v>0</v>
      </c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  <c r="BQ399" s="21"/>
      <c r="BR399" s="21"/>
      <c r="BS399" s="21"/>
      <c r="BT399" s="21"/>
      <c r="BU399" s="21"/>
      <c r="BV399" s="21"/>
      <c r="BW399" s="21"/>
      <c r="BX399" s="21"/>
      <c r="BY399" s="21"/>
      <c r="BZ399" s="21"/>
      <c r="CA399" s="21"/>
      <c r="CB399" s="21"/>
      <c r="CC399" s="21"/>
      <c r="CD399" s="21"/>
      <c r="CE399" s="21"/>
      <c r="CF399" s="21"/>
      <c r="CG399" s="21"/>
      <c r="CH399" s="21"/>
      <c r="CI399" s="21"/>
      <c r="CJ399" s="21"/>
      <c r="CK399" s="21"/>
      <c r="CL399" s="21"/>
      <c r="CM399" s="21"/>
      <c r="CN399" s="21"/>
      <c r="CO399" s="21"/>
      <c r="CP399" s="21"/>
      <c r="CQ399" s="21"/>
      <c r="CR399" s="21"/>
      <c r="CS399" s="21"/>
      <c r="CT399" s="21"/>
      <c r="CU399" s="21"/>
      <c r="CV399" s="21"/>
      <c r="CW399" s="21"/>
      <c r="CX399" s="21"/>
      <c r="CY399" s="21"/>
      <c r="CZ399" s="21"/>
      <c r="DA399" s="21"/>
      <c r="DB399" s="21"/>
      <c r="DC399" s="21"/>
      <c r="DD399" s="21"/>
      <c r="DE399" s="21"/>
      <c r="DF399" s="21"/>
      <c r="DG399" s="21"/>
      <c r="DH399" s="21"/>
      <c r="DI399" s="21"/>
      <c r="DJ399" s="21"/>
      <c r="DK399" s="21"/>
      <c r="DL399" s="21"/>
      <c r="DM399" s="21"/>
      <c r="DN399" s="21"/>
      <c r="DO399" s="21"/>
      <c r="DP399" s="21"/>
      <c r="DQ399" s="21"/>
      <c r="DR399" s="21"/>
      <c r="DS399" s="21"/>
      <c r="DT399" s="21"/>
      <c r="DU399" s="21"/>
      <c r="DV399" s="21"/>
      <c r="DW399" s="21"/>
      <c r="DX399" s="21"/>
      <c r="DY399" s="21"/>
      <c r="DZ399" s="21"/>
      <c r="EA399" s="21"/>
      <c r="EB399" s="21"/>
      <c r="EC399" s="21"/>
      <c r="ED399" s="21"/>
      <c r="EE399" s="21"/>
      <c r="EF399" s="21"/>
      <c r="EG399" s="21"/>
      <c r="EH399" s="21"/>
      <c r="EI399" s="21"/>
      <c r="EJ399" s="21"/>
      <c r="EK399" s="21"/>
      <c r="EL399" s="21"/>
      <c r="EM399" s="21"/>
      <c r="EN399" s="21"/>
      <c r="EO399" s="21"/>
      <c r="EP399" s="21"/>
      <c r="EQ399" s="21"/>
      <c r="ER399" s="21"/>
      <c r="ES399" s="21"/>
      <c r="ET399" s="21"/>
      <c r="EU399" s="21"/>
      <c r="EV399" s="21"/>
      <c r="EW399" s="21"/>
      <c r="EX399" s="21"/>
      <c r="EY399" s="21"/>
      <c r="EZ399" s="21"/>
      <c r="FA399" s="21"/>
      <c r="FB399" s="21"/>
      <c r="FC399" s="21"/>
      <c r="FD399" s="21"/>
      <c r="FE399" s="21"/>
      <c r="FF399" s="21"/>
      <c r="FG399" s="21"/>
      <c r="FH399" s="21"/>
      <c r="FI399" s="21"/>
      <c r="FJ399" s="21"/>
      <c r="FK399" s="21"/>
      <c r="FL399" s="21"/>
      <c r="FM399" s="21"/>
      <c r="FN399" s="21"/>
      <c r="FO399" s="21"/>
      <c r="FP399" s="21"/>
      <c r="FQ399" s="21"/>
      <c r="FR399" s="21"/>
    </row>
    <row r="400" spans="1:194" s="22" customFormat="1" ht="31.5" x14ac:dyDescent="0.25">
      <c r="A400" s="27" t="s">
        <v>337</v>
      </c>
      <c r="B400" s="28">
        <f t="shared" si="55"/>
        <v>62000</v>
      </c>
      <c r="C400" s="28">
        <f t="shared" si="55"/>
        <v>62000</v>
      </c>
      <c r="D400" s="28">
        <f t="shared" si="55"/>
        <v>0</v>
      </c>
      <c r="E400" s="28"/>
      <c r="F400" s="28"/>
      <c r="G400" s="28">
        <f t="shared" si="56"/>
        <v>0</v>
      </c>
      <c r="H400" s="28"/>
      <c r="I400" s="28"/>
      <c r="J400" s="28">
        <f t="shared" si="57"/>
        <v>0</v>
      </c>
      <c r="K400" s="28">
        <f>49500+12500</f>
        <v>62000</v>
      </c>
      <c r="L400" s="28">
        <f>49500+12500</f>
        <v>62000</v>
      </c>
      <c r="M400" s="28">
        <f t="shared" si="58"/>
        <v>0</v>
      </c>
      <c r="N400" s="28"/>
      <c r="O400" s="28"/>
      <c r="P400" s="28">
        <f t="shared" si="59"/>
        <v>0</v>
      </c>
      <c r="Q400" s="28"/>
      <c r="R400" s="28"/>
      <c r="S400" s="28">
        <f t="shared" si="60"/>
        <v>0</v>
      </c>
      <c r="T400" s="28"/>
      <c r="U400" s="28"/>
      <c r="V400" s="28">
        <f t="shared" si="61"/>
        <v>0</v>
      </c>
      <c r="W400" s="28"/>
      <c r="X400" s="28"/>
      <c r="Y400" s="28">
        <f t="shared" si="62"/>
        <v>0</v>
      </c>
      <c r="Z400" s="28"/>
      <c r="AA400" s="28"/>
      <c r="AB400" s="28">
        <f t="shared" si="63"/>
        <v>0</v>
      </c>
      <c r="FS400" s="21"/>
      <c r="FT400" s="21"/>
      <c r="FU400" s="21"/>
      <c r="FV400" s="21"/>
      <c r="FW400" s="21"/>
      <c r="FX400" s="21"/>
      <c r="FY400" s="21"/>
      <c r="FZ400" s="21"/>
      <c r="GA400" s="21"/>
      <c r="GB400" s="21"/>
      <c r="GC400" s="21"/>
      <c r="GD400" s="21"/>
      <c r="GE400" s="21"/>
      <c r="GF400" s="21"/>
      <c r="GG400" s="21"/>
      <c r="GH400" s="21"/>
      <c r="GI400" s="21"/>
      <c r="GJ400" s="21"/>
      <c r="GK400" s="21"/>
      <c r="GL400" s="21"/>
    </row>
    <row r="401" spans="1:194" s="22" customFormat="1" x14ac:dyDescent="0.25">
      <c r="A401" s="19" t="s">
        <v>162</v>
      </c>
      <c r="B401" s="20">
        <f t="shared" si="55"/>
        <v>2168467</v>
      </c>
      <c r="C401" s="20">
        <f t="shared" si="55"/>
        <v>2168467</v>
      </c>
      <c r="D401" s="20">
        <f t="shared" si="55"/>
        <v>0</v>
      </c>
      <c r="E401" s="20">
        <f>SUM(E402,E405,E407,E413,E416,E411)</f>
        <v>0</v>
      </c>
      <c r="F401" s="20">
        <f>SUM(F402,F405,F407,F413,F416,F411)</f>
        <v>0</v>
      </c>
      <c r="G401" s="20">
        <f t="shared" si="56"/>
        <v>0</v>
      </c>
      <c r="H401" s="20">
        <f>SUM(H402,H405,H407,H413,H416,H411)</f>
        <v>0</v>
      </c>
      <c r="I401" s="20">
        <f>SUM(I402,I405,I407,I413,I416,I411)</f>
        <v>0</v>
      </c>
      <c r="J401" s="20">
        <f t="shared" si="57"/>
        <v>0</v>
      </c>
      <c r="K401" s="20">
        <f>SUM(K402,K405,K407,K413,K416,K411)</f>
        <v>30101</v>
      </c>
      <c r="L401" s="20">
        <f>SUM(L402,L405,L407,L413,L416,L411)</f>
        <v>30101</v>
      </c>
      <c r="M401" s="20">
        <f t="shared" si="58"/>
        <v>0</v>
      </c>
      <c r="N401" s="20">
        <f>SUM(N402,N405,N407,N413,N416,N411)</f>
        <v>0</v>
      </c>
      <c r="O401" s="20">
        <f>SUM(O402,O405,O407,O413,O416,O411)</f>
        <v>0</v>
      </c>
      <c r="P401" s="20">
        <f t="shared" si="59"/>
        <v>0</v>
      </c>
      <c r="Q401" s="20">
        <f>SUM(Q402,Q405,Q407,Q413,Q416,Q411)</f>
        <v>2138366</v>
      </c>
      <c r="R401" s="20">
        <f>SUM(R402,R405,R407,R413,R416,R411)</f>
        <v>2138366</v>
      </c>
      <c r="S401" s="20">
        <f t="shared" si="60"/>
        <v>0</v>
      </c>
      <c r="T401" s="20">
        <f>SUM(T402,T405,T407,T413,T416,T411)</f>
        <v>0</v>
      </c>
      <c r="U401" s="20">
        <f>SUM(U402,U405,U407,U413,U416,U411)</f>
        <v>0</v>
      </c>
      <c r="V401" s="20">
        <f t="shared" si="61"/>
        <v>0</v>
      </c>
      <c r="W401" s="20">
        <f>SUM(W402,W405,W407,W413,W416,W411)</f>
        <v>0</v>
      </c>
      <c r="X401" s="20">
        <f>SUM(X402,X405,X407,X413,X416,X411)</f>
        <v>0</v>
      </c>
      <c r="Y401" s="20">
        <f t="shared" si="62"/>
        <v>0</v>
      </c>
      <c r="Z401" s="20">
        <f>SUM(Z402,Z405,Z407,Z413,Z416,Z411)</f>
        <v>0</v>
      </c>
      <c r="AA401" s="20">
        <f>SUM(AA402,AA405,AA407,AA413,AA416,AA411)</f>
        <v>0</v>
      </c>
      <c r="AB401" s="20">
        <f t="shared" si="63"/>
        <v>0</v>
      </c>
      <c r="FS401" s="21"/>
      <c r="FT401" s="21"/>
      <c r="FU401" s="21"/>
      <c r="FV401" s="21"/>
      <c r="FW401" s="21"/>
      <c r="FX401" s="21"/>
      <c r="FY401" s="21"/>
      <c r="FZ401" s="21"/>
      <c r="GA401" s="21"/>
      <c r="GB401" s="21"/>
      <c r="GC401" s="21"/>
      <c r="GD401" s="21"/>
      <c r="GE401" s="21"/>
      <c r="GF401" s="21"/>
      <c r="GG401" s="21"/>
      <c r="GH401" s="21"/>
      <c r="GI401" s="21"/>
      <c r="GJ401" s="21"/>
      <c r="GK401" s="21"/>
      <c r="GL401" s="21"/>
    </row>
    <row r="402" spans="1:194" s="22" customFormat="1" x14ac:dyDescent="0.25">
      <c r="A402" s="19" t="s">
        <v>168</v>
      </c>
      <c r="B402" s="20">
        <f t="shared" si="55"/>
        <v>6130</v>
      </c>
      <c r="C402" s="20">
        <f t="shared" si="55"/>
        <v>6130</v>
      </c>
      <c r="D402" s="20">
        <f t="shared" si="55"/>
        <v>0</v>
      </c>
      <c r="E402" s="20">
        <f>SUM(E403:E404)</f>
        <v>0</v>
      </c>
      <c r="F402" s="20">
        <f>SUM(F403:F404)</f>
        <v>0</v>
      </c>
      <c r="G402" s="20">
        <f t="shared" si="56"/>
        <v>0</v>
      </c>
      <c r="H402" s="20">
        <f>SUM(H403:H404)</f>
        <v>0</v>
      </c>
      <c r="I402" s="20">
        <f>SUM(I403:I404)</f>
        <v>0</v>
      </c>
      <c r="J402" s="20">
        <f t="shared" si="57"/>
        <v>0</v>
      </c>
      <c r="K402" s="20">
        <f>SUM(K403:K404)</f>
        <v>6130</v>
      </c>
      <c r="L402" s="20">
        <f>SUM(L403:L404)</f>
        <v>6130</v>
      </c>
      <c r="M402" s="20">
        <f t="shared" si="58"/>
        <v>0</v>
      </c>
      <c r="N402" s="20">
        <f>SUM(N403:N404)</f>
        <v>0</v>
      </c>
      <c r="O402" s="20">
        <f>SUM(O403:O404)</f>
        <v>0</v>
      </c>
      <c r="P402" s="20">
        <f t="shared" si="59"/>
        <v>0</v>
      </c>
      <c r="Q402" s="20">
        <f>SUM(Q403:Q404)</f>
        <v>0</v>
      </c>
      <c r="R402" s="20">
        <f>SUM(R403:R404)</f>
        <v>0</v>
      </c>
      <c r="S402" s="20">
        <f t="shared" si="60"/>
        <v>0</v>
      </c>
      <c r="T402" s="20">
        <f>SUM(T403:T404)</f>
        <v>0</v>
      </c>
      <c r="U402" s="20">
        <f>SUM(U403:U404)</f>
        <v>0</v>
      </c>
      <c r="V402" s="20">
        <f t="shared" si="61"/>
        <v>0</v>
      </c>
      <c r="W402" s="20">
        <f>SUM(W403:W404)</f>
        <v>0</v>
      </c>
      <c r="X402" s="20">
        <f>SUM(X403:X404)</f>
        <v>0</v>
      </c>
      <c r="Y402" s="20">
        <f t="shared" si="62"/>
        <v>0</v>
      </c>
      <c r="Z402" s="20">
        <f>SUM(Z403:Z404)</f>
        <v>0</v>
      </c>
      <c r="AA402" s="20">
        <f>SUM(AA403:AA404)</f>
        <v>0</v>
      </c>
      <c r="AB402" s="20">
        <f t="shared" si="63"/>
        <v>0</v>
      </c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1"/>
      <c r="BM402" s="21"/>
      <c r="BN402" s="21"/>
      <c r="BO402" s="21"/>
      <c r="BP402" s="21"/>
      <c r="BQ402" s="21"/>
      <c r="BR402" s="21"/>
      <c r="BS402" s="21"/>
      <c r="BT402" s="21"/>
      <c r="BU402" s="21"/>
      <c r="BV402" s="21"/>
      <c r="BW402" s="21"/>
      <c r="BX402" s="21"/>
      <c r="BY402" s="21"/>
      <c r="BZ402" s="21"/>
      <c r="CA402" s="21"/>
      <c r="CB402" s="21"/>
      <c r="CC402" s="21"/>
      <c r="CD402" s="21"/>
      <c r="CE402" s="21"/>
      <c r="CF402" s="21"/>
      <c r="CG402" s="21"/>
      <c r="CH402" s="21"/>
      <c r="CI402" s="21"/>
      <c r="CJ402" s="21"/>
      <c r="CK402" s="21"/>
      <c r="CL402" s="21"/>
      <c r="CM402" s="21"/>
      <c r="CN402" s="21"/>
      <c r="CO402" s="21"/>
      <c r="CP402" s="21"/>
      <c r="CQ402" s="21"/>
      <c r="CR402" s="21"/>
      <c r="CS402" s="21"/>
      <c r="CT402" s="21"/>
      <c r="CU402" s="21"/>
      <c r="CV402" s="21"/>
      <c r="CW402" s="21"/>
      <c r="CX402" s="21"/>
      <c r="CY402" s="21"/>
      <c r="CZ402" s="21"/>
      <c r="DA402" s="21"/>
      <c r="DB402" s="21"/>
      <c r="DC402" s="21"/>
      <c r="DD402" s="21"/>
      <c r="DE402" s="21"/>
      <c r="DF402" s="21"/>
      <c r="DG402" s="21"/>
      <c r="DH402" s="21"/>
      <c r="DI402" s="21"/>
      <c r="DJ402" s="21"/>
      <c r="DK402" s="21"/>
      <c r="DL402" s="21"/>
      <c r="DM402" s="21"/>
      <c r="DN402" s="21"/>
      <c r="DO402" s="21"/>
      <c r="DP402" s="21"/>
      <c r="DQ402" s="21"/>
      <c r="DR402" s="21"/>
      <c r="DS402" s="21"/>
      <c r="DT402" s="21"/>
      <c r="DU402" s="21"/>
      <c r="DV402" s="21"/>
      <c r="DW402" s="21"/>
      <c r="DX402" s="21"/>
      <c r="DY402" s="21"/>
      <c r="DZ402" s="21"/>
      <c r="EA402" s="21"/>
      <c r="EB402" s="21"/>
      <c r="EC402" s="21"/>
      <c r="ED402" s="21"/>
      <c r="EE402" s="21"/>
      <c r="EF402" s="21"/>
      <c r="EG402" s="21"/>
      <c r="EH402" s="21"/>
      <c r="EI402" s="21"/>
      <c r="EJ402" s="21"/>
      <c r="EK402" s="21"/>
      <c r="EL402" s="21"/>
      <c r="EM402" s="21"/>
      <c r="EN402" s="21"/>
      <c r="EO402" s="21"/>
      <c r="EP402" s="21"/>
      <c r="EQ402" s="21"/>
      <c r="ER402" s="21"/>
      <c r="ES402" s="21"/>
      <c r="ET402" s="21"/>
      <c r="EU402" s="21"/>
      <c r="EV402" s="21"/>
      <c r="EW402" s="21"/>
      <c r="EX402" s="21"/>
      <c r="EY402" s="21"/>
      <c r="EZ402" s="21"/>
      <c r="FA402" s="21"/>
      <c r="FB402" s="21"/>
      <c r="FC402" s="21"/>
      <c r="FD402" s="21"/>
      <c r="FE402" s="21"/>
      <c r="FF402" s="21"/>
      <c r="FG402" s="21"/>
      <c r="FH402" s="21"/>
      <c r="FI402" s="21"/>
      <c r="FJ402" s="21"/>
      <c r="FK402" s="21"/>
      <c r="FL402" s="21"/>
      <c r="FM402" s="21"/>
      <c r="FN402" s="21"/>
      <c r="FO402" s="21"/>
      <c r="FP402" s="21"/>
      <c r="FQ402" s="21"/>
      <c r="FR402" s="21"/>
    </row>
    <row r="403" spans="1:194" s="22" customFormat="1" x14ac:dyDescent="0.25">
      <c r="A403" s="27" t="s">
        <v>338</v>
      </c>
      <c r="B403" s="28">
        <f t="shared" si="55"/>
        <v>3600</v>
      </c>
      <c r="C403" s="28">
        <f t="shared" si="55"/>
        <v>3600</v>
      </c>
      <c r="D403" s="28">
        <f t="shared" si="55"/>
        <v>0</v>
      </c>
      <c r="E403" s="28"/>
      <c r="F403" s="28"/>
      <c r="G403" s="28">
        <f t="shared" si="56"/>
        <v>0</v>
      </c>
      <c r="H403" s="28"/>
      <c r="I403" s="28"/>
      <c r="J403" s="28">
        <f t="shared" si="57"/>
        <v>0</v>
      </c>
      <c r="K403" s="28">
        <v>3600</v>
      </c>
      <c r="L403" s="28">
        <v>3600</v>
      </c>
      <c r="M403" s="28">
        <f t="shared" si="58"/>
        <v>0</v>
      </c>
      <c r="N403" s="28"/>
      <c r="O403" s="28"/>
      <c r="P403" s="28">
        <f t="shared" si="59"/>
        <v>0</v>
      </c>
      <c r="Q403" s="28"/>
      <c r="R403" s="28"/>
      <c r="S403" s="28">
        <f t="shared" si="60"/>
        <v>0</v>
      </c>
      <c r="T403" s="28"/>
      <c r="U403" s="28"/>
      <c r="V403" s="28">
        <f t="shared" si="61"/>
        <v>0</v>
      </c>
      <c r="W403" s="28"/>
      <c r="X403" s="28"/>
      <c r="Y403" s="28">
        <f t="shared" si="62"/>
        <v>0</v>
      </c>
      <c r="Z403" s="28"/>
      <c r="AA403" s="28"/>
      <c r="AB403" s="28">
        <f t="shared" si="63"/>
        <v>0</v>
      </c>
      <c r="FS403" s="21"/>
      <c r="FT403" s="21"/>
      <c r="FU403" s="21"/>
      <c r="FV403" s="21"/>
      <c r="FW403" s="21"/>
      <c r="FX403" s="21"/>
      <c r="FY403" s="21"/>
      <c r="FZ403" s="21"/>
      <c r="GA403" s="21"/>
      <c r="GB403" s="21"/>
      <c r="GC403" s="21"/>
      <c r="GD403" s="21"/>
      <c r="GE403" s="21"/>
      <c r="GF403" s="21"/>
      <c r="GG403" s="21"/>
      <c r="GH403" s="21"/>
      <c r="GI403" s="21"/>
      <c r="GJ403" s="21"/>
      <c r="GK403" s="21"/>
      <c r="GL403" s="21"/>
    </row>
    <row r="404" spans="1:194" s="22" customFormat="1" x14ac:dyDescent="0.25">
      <c r="A404" s="27" t="s">
        <v>339</v>
      </c>
      <c r="B404" s="28">
        <f t="shared" si="55"/>
        <v>2530</v>
      </c>
      <c r="C404" s="28">
        <f t="shared" si="55"/>
        <v>2530</v>
      </c>
      <c r="D404" s="28">
        <f t="shared" si="55"/>
        <v>0</v>
      </c>
      <c r="E404" s="28"/>
      <c r="F404" s="28"/>
      <c r="G404" s="28">
        <f t="shared" si="56"/>
        <v>0</v>
      </c>
      <c r="H404" s="28"/>
      <c r="I404" s="28"/>
      <c r="J404" s="28">
        <f t="shared" si="57"/>
        <v>0</v>
      </c>
      <c r="K404" s="28">
        <v>2530</v>
      </c>
      <c r="L404" s="28">
        <v>2530</v>
      </c>
      <c r="M404" s="28">
        <f t="shared" si="58"/>
        <v>0</v>
      </c>
      <c r="N404" s="28"/>
      <c r="O404" s="28"/>
      <c r="P404" s="28">
        <f t="shared" si="59"/>
        <v>0</v>
      </c>
      <c r="Q404" s="28"/>
      <c r="R404" s="28"/>
      <c r="S404" s="28">
        <f t="shared" si="60"/>
        <v>0</v>
      </c>
      <c r="T404" s="28"/>
      <c r="U404" s="28"/>
      <c r="V404" s="28">
        <f t="shared" si="61"/>
        <v>0</v>
      </c>
      <c r="W404" s="28"/>
      <c r="X404" s="28"/>
      <c r="Y404" s="28">
        <f t="shared" si="62"/>
        <v>0</v>
      </c>
      <c r="Z404" s="28"/>
      <c r="AA404" s="28"/>
      <c r="AB404" s="28">
        <f t="shared" si="63"/>
        <v>0</v>
      </c>
      <c r="FS404" s="21"/>
      <c r="FT404" s="21"/>
      <c r="FU404" s="21"/>
      <c r="FV404" s="21"/>
      <c r="FW404" s="21"/>
      <c r="FX404" s="21"/>
      <c r="FY404" s="21"/>
      <c r="FZ404" s="21"/>
      <c r="GA404" s="21"/>
      <c r="GB404" s="21"/>
      <c r="GC404" s="21"/>
      <c r="GD404" s="21"/>
      <c r="GE404" s="21"/>
      <c r="GF404" s="21"/>
      <c r="GG404" s="21"/>
      <c r="GH404" s="21"/>
      <c r="GI404" s="21"/>
      <c r="GJ404" s="21"/>
      <c r="GK404" s="21"/>
      <c r="GL404" s="21"/>
    </row>
    <row r="405" spans="1:194" s="22" customFormat="1" x14ac:dyDescent="0.25">
      <c r="A405" s="19" t="s">
        <v>174</v>
      </c>
      <c r="B405" s="20">
        <f t="shared" si="55"/>
        <v>0</v>
      </c>
      <c r="C405" s="20">
        <f t="shared" si="55"/>
        <v>0</v>
      </c>
      <c r="D405" s="20">
        <f t="shared" si="55"/>
        <v>0</v>
      </c>
      <c r="E405" s="20">
        <f>SUM(E406)</f>
        <v>0</v>
      </c>
      <c r="F405" s="20">
        <f>SUM(F406)</f>
        <v>0</v>
      </c>
      <c r="G405" s="20">
        <f t="shared" si="56"/>
        <v>0</v>
      </c>
      <c r="H405" s="20">
        <f>SUM(H406)</f>
        <v>0</v>
      </c>
      <c r="I405" s="20">
        <f>SUM(I406)</f>
        <v>0</v>
      </c>
      <c r="J405" s="20">
        <f t="shared" si="57"/>
        <v>0</v>
      </c>
      <c r="K405" s="20">
        <f>SUM(K406)</f>
        <v>0</v>
      </c>
      <c r="L405" s="20">
        <f>SUM(L406)</f>
        <v>0</v>
      </c>
      <c r="M405" s="20">
        <f t="shared" si="58"/>
        <v>0</v>
      </c>
      <c r="N405" s="20">
        <f>SUM(N406)</f>
        <v>0</v>
      </c>
      <c r="O405" s="20">
        <f>SUM(O406)</f>
        <v>0</v>
      </c>
      <c r="P405" s="20">
        <f t="shared" si="59"/>
        <v>0</v>
      </c>
      <c r="Q405" s="20">
        <f>SUM(Q406)</f>
        <v>0</v>
      </c>
      <c r="R405" s="20">
        <f>SUM(R406)</f>
        <v>0</v>
      </c>
      <c r="S405" s="20">
        <f t="shared" si="60"/>
        <v>0</v>
      </c>
      <c r="T405" s="20">
        <f>SUM(T406)</f>
        <v>0</v>
      </c>
      <c r="U405" s="20">
        <f>SUM(U406)</f>
        <v>0</v>
      </c>
      <c r="V405" s="20">
        <f t="shared" si="61"/>
        <v>0</v>
      </c>
      <c r="W405" s="20">
        <f>SUM(W406)</f>
        <v>0</v>
      </c>
      <c r="X405" s="20">
        <f>SUM(X406)</f>
        <v>0</v>
      </c>
      <c r="Y405" s="20">
        <f t="shared" si="62"/>
        <v>0</v>
      </c>
      <c r="Z405" s="20">
        <f>SUM(Z406)</f>
        <v>0</v>
      </c>
      <c r="AA405" s="20">
        <f>SUM(AA406)</f>
        <v>0</v>
      </c>
      <c r="AB405" s="20">
        <f t="shared" si="63"/>
        <v>0</v>
      </c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  <c r="BQ405" s="21"/>
      <c r="BR405" s="21"/>
      <c r="BS405" s="21"/>
      <c r="BT405" s="21"/>
      <c r="BU405" s="21"/>
      <c r="BV405" s="21"/>
      <c r="BW405" s="21"/>
      <c r="BX405" s="21"/>
      <c r="BY405" s="21"/>
      <c r="BZ405" s="21"/>
      <c r="CA405" s="21"/>
      <c r="CB405" s="21"/>
      <c r="CC405" s="21"/>
      <c r="CD405" s="21"/>
      <c r="CE405" s="21"/>
      <c r="CF405" s="21"/>
      <c r="CG405" s="21"/>
      <c r="CH405" s="21"/>
      <c r="CI405" s="21"/>
      <c r="CJ405" s="21"/>
      <c r="CK405" s="21"/>
      <c r="CL405" s="21"/>
      <c r="CM405" s="21"/>
      <c r="CN405" s="21"/>
      <c r="CO405" s="21"/>
      <c r="CP405" s="21"/>
      <c r="CQ405" s="21"/>
      <c r="CR405" s="21"/>
      <c r="CS405" s="21"/>
      <c r="CT405" s="21"/>
      <c r="CU405" s="21"/>
      <c r="CV405" s="21"/>
      <c r="CW405" s="21"/>
      <c r="CX405" s="21"/>
      <c r="CY405" s="21"/>
      <c r="CZ405" s="21"/>
      <c r="DA405" s="21"/>
      <c r="DB405" s="21"/>
      <c r="DC405" s="21"/>
      <c r="DD405" s="21"/>
      <c r="DE405" s="21"/>
      <c r="DF405" s="21"/>
      <c r="DG405" s="21"/>
      <c r="DH405" s="21"/>
      <c r="DI405" s="21"/>
      <c r="DJ405" s="21"/>
      <c r="DK405" s="21"/>
      <c r="DL405" s="21"/>
      <c r="DM405" s="21"/>
      <c r="DN405" s="21"/>
      <c r="DO405" s="21"/>
      <c r="DP405" s="21"/>
      <c r="DQ405" s="21"/>
      <c r="DR405" s="21"/>
      <c r="DS405" s="21"/>
      <c r="DT405" s="21"/>
      <c r="DU405" s="21"/>
      <c r="DV405" s="21"/>
      <c r="DW405" s="21"/>
      <c r="DX405" s="21"/>
      <c r="DY405" s="21"/>
      <c r="DZ405" s="21"/>
      <c r="EA405" s="21"/>
      <c r="EB405" s="21"/>
      <c r="EC405" s="21"/>
      <c r="ED405" s="21"/>
      <c r="EE405" s="21"/>
      <c r="EF405" s="21"/>
      <c r="EG405" s="21"/>
      <c r="EH405" s="21"/>
      <c r="EI405" s="21"/>
      <c r="EJ405" s="21"/>
      <c r="EK405" s="21"/>
      <c r="EL405" s="21"/>
      <c r="EM405" s="21"/>
      <c r="EN405" s="21"/>
      <c r="EO405" s="21"/>
      <c r="EP405" s="21"/>
      <c r="EQ405" s="21"/>
      <c r="ER405" s="21"/>
      <c r="ES405" s="21"/>
      <c r="ET405" s="21"/>
      <c r="EU405" s="21"/>
      <c r="EV405" s="21"/>
      <c r="EW405" s="21"/>
      <c r="EX405" s="21"/>
      <c r="EY405" s="21"/>
      <c r="EZ405" s="21"/>
      <c r="FA405" s="21"/>
      <c r="FB405" s="21"/>
      <c r="FC405" s="21"/>
      <c r="FD405" s="21"/>
      <c r="FE405" s="21"/>
      <c r="FF405" s="21"/>
      <c r="FG405" s="21"/>
      <c r="FH405" s="21"/>
      <c r="FI405" s="21"/>
      <c r="FJ405" s="21"/>
      <c r="FK405" s="21"/>
      <c r="FL405" s="21"/>
      <c r="FM405" s="21"/>
      <c r="FN405" s="21"/>
      <c r="FO405" s="21"/>
      <c r="FP405" s="21"/>
      <c r="FQ405" s="21"/>
      <c r="FR405" s="21"/>
    </row>
    <row r="406" spans="1:194" s="22" customFormat="1" x14ac:dyDescent="0.25">
      <c r="A406" s="27"/>
      <c r="B406" s="28">
        <f t="shared" si="55"/>
        <v>0</v>
      </c>
      <c r="C406" s="28">
        <f t="shared" si="55"/>
        <v>0</v>
      </c>
      <c r="D406" s="28">
        <f t="shared" si="55"/>
        <v>0</v>
      </c>
      <c r="E406" s="28"/>
      <c r="F406" s="28"/>
      <c r="G406" s="28">
        <f t="shared" si="56"/>
        <v>0</v>
      </c>
      <c r="H406" s="28"/>
      <c r="I406" s="28"/>
      <c r="J406" s="28">
        <f t="shared" si="57"/>
        <v>0</v>
      </c>
      <c r="K406" s="28"/>
      <c r="L406" s="28"/>
      <c r="M406" s="28">
        <f t="shared" si="58"/>
        <v>0</v>
      </c>
      <c r="N406" s="28"/>
      <c r="O406" s="28"/>
      <c r="P406" s="28">
        <f t="shared" si="59"/>
        <v>0</v>
      </c>
      <c r="Q406" s="28"/>
      <c r="R406" s="28"/>
      <c r="S406" s="28">
        <f t="shared" si="60"/>
        <v>0</v>
      </c>
      <c r="T406" s="28"/>
      <c r="U406" s="28"/>
      <c r="V406" s="28">
        <f t="shared" si="61"/>
        <v>0</v>
      </c>
      <c r="W406" s="28"/>
      <c r="X406" s="28"/>
      <c r="Y406" s="28">
        <f t="shared" si="62"/>
        <v>0</v>
      </c>
      <c r="Z406" s="28"/>
      <c r="AA406" s="28"/>
      <c r="AB406" s="28">
        <f t="shared" si="63"/>
        <v>0</v>
      </c>
      <c r="FS406" s="21"/>
      <c r="FT406" s="21"/>
      <c r="FU406" s="21"/>
      <c r="FV406" s="21"/>
      <c r="FW406" s="21"/>
      <c r="FX406" s="21"/>
      <c r="FY406" s="21"/>
      <c r="FZ406" s="21"/>
      <c r="GA406" s="21"/>
      <c r="GB406" s="21"/>
      <c r="GC406" s="21"/>
      <c r="GD406" s="21"/>
      <c r="GE406" s="21"/>
      <c r="GF406" s="21"/>
      <c r="GG406" s="21"/>
      <c r="GH406" s="21"/>
      <c r="GI406" s="21"/>
      <c r="GJ406" s="21"/>
      <c r="GK406" s="21"/>
      <c r="GL406" s="21"/>
    </row>
    <row r="407" spans="1:194" s="22" customFormat="1" x14ac:dyDescent="0.25">
      <c r="A407" s="19" t="s">
        <v>176</v>
      </c>
      <c r="B407" s="20">
        <f t="shared" si="55"/>
        <v>704801</v>
      </c>
      <c r="C407" s="20">
        <f t="shared" si="55"/>
        <v>704801</v>
      </c>
      <c r="D407" s="20">
        <f t="shared" si="55"/>
        <v>0</v>
      </c>
      <c r="E407" s="20">
        <f>SUM(E408:E410)</f>
        <v>0</v>
      </c>
      <c r="F407" s="20">
        <f>SUM(F408:F410)</f>
        <v>0</v>
      </c>
      <c r="G407" s="20">
        <f t="shared" si="56"/>
        <v>0</v>
      </c>
      <c r="H407" s="20">
        <f>SUM(H408:H410)</f>
        <v>0</v>
      </c>
      <c r="I407" s="20">
        <f>SUM(I408:I410)</f>
        <v>0</v>
      </c>
      <c r="J407" s="20">
        <f t="shared" si="57"/>
        <v>0</v>
      </c>
      <c r="K407" s="20">
        <f>SUM(K408:K410)</f>
        <v>3971</v>
      </c>
      <c r="L407" s="20">
        <f>SUM(L408:L410)</f>
        <v>3971</v>
      </c>
      <c r="M407" s="20">
        <f t="shared" si="58"/>
        <v>0</v>
      </c>
      <c r="N407" s="20">
        <f>SUM(N408:N410)</f>
        <v>0</v>
      </c>
      <c r="O407" s="20">
        <f>SUM(O408:O410)</f>
        <v>0</v>
      </c>
      <c r="P407" s="20">
        <f t="shared" si="59"/>
        <v>0</v>
      </c>
      <c r="Q407" s="20">
        <f>SUM(Q408:Q410)</f>
        <v>700830</v>
      </c>
      <c r="R407" s="20">
        <f>SUM(R408:R410)</f>
        <v>700830</v>
      </c>
      <c r="S407" s="20">
        <f t="shared" si="60"/>
        <v>0</v>
      </c>
      <c r="T407" s="20">
        <f>SUM(T408:T410)</f>
        <v>0</v>
      </c>
      <c r="U407" s="20">
        <f>SUM(U408:U410)</f>
        <v>0</v>
      </c>
      <c r="V407" s="20">
        <f t="shared" si="61"/>
        <v>0</v>
      </c>
      <c r="W407" s="20">
        <f>SUM(W408:W410)</f>
        <v>0</v>
      </c>
      <c r="X407" s="20">
        <f>SUM(X408:X410)</f>
        <v>0</v>
      </c>
      <c r="Y407" s="20">
        <f t="shared" si="62"/>
        <v>0</v>
      </c>
      <c r="Z407" s="20">
        <f>SUM(Z408:Z410)</f>
        <v>0</v>
      </c>
      <c r="AA407" s="20">
        <f>SUM(AA408:AA410)</f>
        <v>0</v>
      </c>
      <c r="AB407" s="20">
        <f t="shared" si="63"/>
        <v>0</v>
      </c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1"/>
      <c r="BM407" s="21"/>
      <c r="BN407" s="21"/>
      <c r="BO407" s="21"/>
      <c r="BP407" s="21"/>
      <c r="BQ407" s="21"/>
      <c r="BR407" s="21"/>
      <c r="BS407" s="21"/>
      <c r="BT407" s="21"/>
      <c r="BU407" s="21"/>
      <c r="BV407" s="21"/>
      <c r="BW407" s="21"/>
      <c r="BX407" s="21"/>
      <c r="BY407" s="21"/>
      <c r="BZ407" s="21"/>
      <c r="CA407" s="21"/>
      <c r="CB407" s="21"/>
      <c r="CC407" s="21"/>
      <c r="CD407" s="21"/>
      <c r="CE407" s="21"/>
      <c r="CF407" s="21"/>
      <c r="CG407" s="21"/>
      <c r="CH407" s="21"/>
      <c r="CI407" s="21"/>
      <c r="CJ407" s="21"/>
      <c r="CK407" s="21"/>
      <c r="CL407" s="21"/>
      <c r="CM407" s="21"/>
      <c r="CN407" s="21"/>
      <c r="CO407" s="21"/>
      <c r="CP407" s="21"/>
      <c r="CQ407" s="21"/>
      <c r="CR407" s="21"/>
      <c r="CS407" s="21"/>
      <c r="CT407" s="21"/>
      <c r="CU407" s="21"/>
      <c r="CV407" s="21"/>
      <c r="CW407" s="21"/>
      <c r="CX407" s="21"/>
      <c r="CY407" s="21"/>
      <c r="CZ407" s="21"/>
      <c r="DA407" s="21"/>
      <c r="DB407" s="21"/>
      <c r="DC407" s="21"/>
      <c r="DD407" s="21"/>
      <c r="DE407" s="21"/>
      <c r="DF407" s="21"/>
      <c r="DG407" s="21"/>
      <c r="DH407" s="21"/>
      <c r="DI407" s="21"/>
      <c r="DJ407" s="21"/>
      <c r="DK407" s="21"/>
      <c r="DL407" s="21"/>
      <c r="DM407" s="21"/>
      <c r="DN407" s="21"/>
      <c r="DO407" s="21"/>
      <c r="DP407" s="21"/>
      <c r="DQ407" s="21"/>
      <c r="DR407" s="21"/>
      <c r="DS407" s="21"/>
      <c r="DT407" s="21"/>
      <c r="DU407" s="21"/>
      <c r="DV407" s="21"/>
      <c r="DW407" s="21"/>
      <c r="DX407" s="21"/>
      <c r="DY407" s="21"/>
      <c r="DZ407" s="21"/>
      <c r="EA407" s="21"/>
      <c r="EB407" s="21"/>
      <c r="EC407" s="21"/>
      <c r="ED407" s="21"/>
      <c r="EE407" s="21"/>
      <c r="EF407" s="21"/>
      <c r="EG407" s="21"/>
      <c r="EH407" s="21"/>
      <c r="EI407" s="21"/>
      <c r="EJ407" s="21"/>
      <c r="EK407" s="21"/>
      <c r="EL407" s="21"/>
      <c r="EM407" s="21"/>
      <c r="EN407" s="21"/>
      <c r="EO407" s="21"/>
      <c r="EP407" s="21"/>
      <c r="EQ407" s="21"/>
      <c r="ER407" s="21"/>
      <c r="ES407" s="21"/>
      <c r="ET407" s="21"/>
      <c r="EU407" s="21"/>
      <c r="EV407" s="21"/>
      <c r="EW407" s="21"/>
      <c r="EX407" s="21"/>
      <c r="EY407" s="21"/>
      <c r="EZ407" s="21"/>
      <c r="FA407" s="21"/>
      <c r="FB407" s="21"/>
      <c r="FC407" s="21"/>
      <c r="FD407" s="21"/>
      <c r="FE407" s="21"/>
      <c r="FF407" s="21"/>
      <c r="FG407" s="21"/>
      <c r="FH407" s="21"/>
      <c r="FI407" s="21"/>
      <c r="FJ407" s="21"/>
      <c r="FK407" s="21"/>
      <c r="FL407" s="21"/>
      <c r="FM407" s="21"/>
      <c r="FN407" s="21"/>
      <c r="FO407" s="21"/>
      <c r="FP407" s="21"/>
      <c r="FQ407" s="21"/>
      <c r="FR407" s="21"/>
    </row>
    <row r="408" spans="1:194" s="22" customFormat="1" x14ac:dyDescent="0.25">
      <c r="A408" s="27" t="s">
        <v>340</v>
      </c>
      <c r="B408" s="28">
        <f t="shared" si="55"/>
        <v>2760</v>
      </c>
      <c r="C408" s="28">
        <f t="shared" si="55"/>
        <v>2760</v>
      </c>
      <c r="D408" s="28">
        <f t="shared" si="55"/>
        <v>0</v>
      </c>
      <c r="E408" s="28"/>
      <c r="F408" s="28"/>
      <c r="G408" s="28">
        <f t="shared" si="56"/>
        <v>0</v>
      </c>
      <c r="H408" s="28"/>
      <c r="I408" s="28"/>
      <c r="J408" s="28">
        <f t="shared" si="57"/>
        <v>0</v>
      </c>
      <c r="K408" s="28">
        <v>2760</v>
      </c>
      <c r="L408" s="28">
        <v>2760</v>
      </c>
      <c r="M408" s="28">
        <f t="shared" si="58"/>
        <v>0</v>
      </c>
      <c r="N408" s="28"/>
      <c r="O408" s="28"/>
      <c r="P408" s="28">
        <f t="shared" si="59"/>
        <v>0</v>
      </c>
      <c r="Q408" s="28"/>
      <c r="R408" s="28"/>
      <c r="S408" s="28">
        <f t="shared" si="60"/>
        <v>0</v>
      </c>
      <c r="T408" s="28"/>
      <c r="U408" s="28"/>
      <c r="V408" s="28">
        <f t="shared" si="61"/>
        <v>0</v>
      </c>
      <c r="W408" s="28"/>
      <c r="X408" s="28"/>
      <c r="Y408" s="28">
        <f t="shared" si="62"/>
        <v>0</v>
      </c>
      <c r="Z408" s="28"/>
      <c r="AA408" s="28"/>
      <c r="AB408" s="28">
        <f t="shared" si="63"/>
        <v>0</v>
      </c>
    </row>
    <row r="409" spans="1:194" s="22" customFormat="1" x14ac:dyDescent="0.25">
      <c r="A409" s="27" t="s">
        <v>341</v>
      </c>
      <c r="B409" s="28">
        <f t="shared" si="55"/>
        <v>1211</v>
      </c>
      <c r="C409" s="28">
        <f t="shared" si="55"/>
        <v>1211</v>
      </c>
      <c r="D409" s="28">
        <f t="shared" si="55"/>
        <v>0</v>
      </c>
      <c r="E409" s="28"/>
      <c r="F409" s="28"/>
      <c r="G409" s="28">
        <f t="shared" si="56"/>
        <v>0</v>
      </c>
      <c r="H409" s="28"/>
      <c r="I409" s="28"/>
      <c r="J409" s="28">
        <f t="shared" si="57"/>
        <v>0</v>
      </c>
      <c r="K409" s="28">
        <v>1211</v>
      </c>
      <c r="L409" s="28">
        <v>1211</v>
      </c>
      <c r="M409" s="28">
        <f t="shared" si="58"/>
        <v>0</v>
      </c>
      <c r="N409" s="28"/>
      <c r="O409" s="28"/>
      <c r="P409" s="28">
        <f t="shared" si="59"/>
        <v>0</v>
      </c>
      <c r="Q409" s="28"/>
      <c r="R409" s="28"/>
      <c r="S409" s="28">
        <f t="shared" si="60"/>
        <v>0</v>
      </c>
      <c r="T409" s="28"/>
      <c r="U409" s="28"/>
      <c r="V409" s="28">
        <f t="shared" si="61"/>
        <v>0</v>
      </c>
      <c r="W409" s="28"/>
      <c r="X409" s="28"/>
      <c r="Y409" s="28">
        <f t="shared" si="62"/>
        <v>0</v>
      </c>
      <c r="Z409" s="28"/>
      <c r="AA409" s="28"/>
      <c r="AB409" s="28">
        <f t="shared" si="63"/>
        <v>0</v>
      </c>
    </row>
    <row r="410" spans="1:194" s="22" customFormat="1" ht="31.5" x14ac:dyDescent="0.25">
      <c r="A410" s="27" t="s">
        <v>163</v>
      </c>
      <c r="B410" s="28">
        <f t="shared" si="55"/>
        <v>700830</v>
      </c>
      <c r="C410" s="28">
        <f t="shared" si="55"/>
        <v>700830</v>
      </c>
      <c r="D410" s="28">
        <f t="shared" si="55"/>
        <v>0</v>
      </c>
      <c r="E410" s="28"/>
      <c r="F410" s="28"/>
      <c r="G410" s="28">
        <f t="shared" si="56"/>
        <v>0</v>
      </c>
      <c r="H410" s="28"/>
      <c r="I410" s="28"/>
      <c r="J410" s="28">
        <f t="shared" si="57"/>
        <v>0</v>
      </c>
      <c r="K410" s="28"/>
      <c r="L410" s="28"/>
      <c r="M410" s="28">
        <f t="shared" si="58"/>
        <v>0</v>
      </c>
      <c r="N410" s="28"/>
      <c r="O410" s="28"/>
      <c r="P410" s="28">
        <f t="shared" si="59"/>
        <v>0</v>
      </c>
      <c r="Q410" s="28">
        <v>700830</v>
      </c>
      <c r="R410" s="28">
        <v>700830</v>
      </c>
      <c r="S410" s="28">
        <f t="shared" si="60"/>
        <v>0</v>
      </c>
      <c r="T410" s="28"/>
      <c r="U410" s="28"/>
      <c r="V410" s="28">
        <f t="shared" si="61"/>
        <v>0</v>
      </c>
      <c r="W410" s="28"/>
      <c r="X410" s="28"/>
      <c r="Y410" s="28">
        <f t="shared" si="62"/>
        <v>0</v>
      </c>
      <c r="Z410" s="28"/>
      <c r="AA410" s="28"/>
      <c r="AB410" s="28">
        <f t="shared" si="63"/>
        <v>0</v>
      </c>
      <c r="FS410" s="21"/>
      <c r="FT410" s="21"/>
      <c r="FU410" s="21"/>
      <c r="FV410" s="21"/>
      <c r="FW410" s="21"/>
      <c r="FX410" s="21"/>
      <c r="FY410" s="21"/>
      <c r="FZ410" s="21"/>
      <c r="GA410" s="21"/>
      <c r="GB410" s="21"/>
      <c r="GC410" s="21"/>
      <c r="GD410" s="21"/>
      <c r="GE410" s="21"/>
      <c r="GF410" s="21"/>
      <c r="GG410" s="21"/>
      <c r="GH410" s="21"/>
      <c r="GI410" s="21"/>
      <c r="GJ410" s="21"/>
      <c r="GK410" s="21"/>
      <c r="GL410" s="21"/>
    </row>
    <row r="411" spans="1:194" s="22" customFormat="1" x14ac:dyDescent="0.25">
      <c r="A411" s="19" t="s">
        <v>182</v>
      </c>
      <c r="B411" s="20">
        <f t="shared" si="55"/>
        <v>0</v>
      </c>
      <c r="C411" s="20">
        <f t="shared" si="55"/>
        <v>0</v>
      </c>
      <c r="D411" s="20">
        <f t="shared" si="55"/>
        <v>0</v>
      </c>
      <c r="E411" s="20">
        <f>SUM(E412)</f>
        <v>0</v>
      </c>
      <c r="F411" s="20">
        <f>SUM(F412)</f>
        <v>0</v>
      </c>
      <c r="G411" s="20">
        <f t="shared" si="56"/>
        <v>0</v>
      </c>
      <c r="H411" s="20">
        <f>SUM(H412)</f>
        <v>0</v>
      </c>
      <c r="I411" s="20">
        <f>SUM(I412)</f>
        <v>0</v>
      </c>
      <c r="J411" s="20">
        <f t="shared" si="57"/>
        <v>0</v>
      </c>
      <c r="K411" s="20">
        <f>SUM(K412)</f>
        <v>0</v>
      </c>
      <c r="L411" s="20">
        <f>SUM(L412)</f>
        <v>0</v>
      </c>
      <c r="M411" s="20">
        <f t="shared" si="58"/>
        <v>0</v>
      </c>
      <c r="N411" s="20">
        <f>SUM(N412)</f>
        <v>0</v>
      </c>
      <c r="O411" s="20">
        <f>SUM(O412)</f>
        <v>0</v>
      </c>
      <c r="P411" s="20">
        <f t="shared" si="59"/>
        <v>0</v>
      </c>
      <c r="Q411" s="20">
        <f>SUM(Q412)</f>
        <v>0</v>
      </c>
      <c r="R411" s="20">
        <f>SUM(R412)</f>
        <v>0</v>
      </c>
      <c r="S411" s="20">
        <f t="shared" si="60"/>
        <v>0</v>
      </c>
      <c r="T411" s="20">
        <f>SUM(T412)</f>
        <v>0</v>
      </c>
      <c r="U411" s="20">
        <f>SUM(U412)</f>
        <v>0</v>
      </c>
      <c r="V411" s="20">
        <f t="shared" si="61"/>
        <v>0</v>
      </c>
      <c r="W411" s="20">
        <f>SUM(W412)</f>
        <v>0</v>
      </c>
      <c r="X411" s="20">
        <f>SUM(X412)</f>
        <v>0</v>
      </c>
      <c r="Y411" s="20">
        <f t="shared" si="62"/>
        <v>0</v>
      </c>
      <c r="Z411" s="20">
        <f>SUM(Z412)</f>
        <v>0</v>
      </c>
      <c r="AA411" s="20">
        <f>SUM(AA412)</f>
        <v>0</v>
      </c>
      <c r="AB411" s="20">
        <f t="shared" si="63"/>
        <v>0</v>
      </c>
    </row>
    <row r="412" spans="1:194" s="22" customFormat="1" x14ac:dyDescent="0.25">
      <c r="A412" s="27"/>
      <c r="B412" s="28">
        <f t="shared" si="55"/>
        <v>0</v>
      </c>
      <c r="C412" s="28">
        <f t="shared" si="55"/>
        <v>0</v>
      </c>
      <c r="D412" s="28">
        <f t="shared" si="55"/>
        <v>0</v>
      </c>
      <c r="E412" s="28"/>
      <c r="F412" s="28"/>
      <c r="G412" s="28">
        <f t="shared" si="56"/>
        <v>0</v>
      </c>
      <c r="H412" s="28"/>
      <c r="I412" s="28"/>
      <c r="J412" s="28">
        <f t="shared" si="57"/>
        <v>0</v>
      </c>
      <c r="K412" s="28"/>
      <c r="L412" s="28"/>
      <c r="M412" s="28">
        <f t="shared" si="58"/>
        <v>0</v>
      </c>
      <c r="N412" s="28"/>
      <c r="O412" s="28"/>
      <c r="P412" s="28">
        <f t="shared" si="59"/>
        <v>0</v>
      </c>
      <c r="Q412" s="28"/>
      <c r="R412" s="28"/>
      <c r="S412" s="28">
        <f t="shared" si="60"/>
        <v>0</v>
      </c>
      <c r="T412" s="28"/>
      <c r="U412" s="28"/>
      <c r="V412" s="28">
        <f t="shared" si="61"/>
        <v>0</v>
      </c>
      <c r="W412" s="28"/>
      <c r="X412" s="28"/>
      <c r="Y412" s="28">
        <f t="shared" si="62"/>
        <v>0</v>
      </c>
      <c r="Z412" s="28"/>
      <c r="AA412" s="28"/>
      <c r="AB412" s="28">
        <f t="shared" si="63"/>
        <v>0</v>
      </c>
    </row>
    <row r="413" spans="1:194" s="22" customFormat="1" x14ac:dyDescent="0.25">
      <c r="A413" s="19" t="s">
        <v>188</v>
      </c>
      <c r="B413" s="20">
        <f t="shared" si="55"/>
        <v>918550</v>
      </c>
      <c r="C413" s="20">
        <f t="shared" si="55"/>
        <v>918550</v>
      </c>
      <c r="D413" s="20">
        <f t="shared" si="55"/>
        <v>0</v>
      </c>
      <c r="E413" s="20">
        <f>SUM(E414:E415)</f>
        <v>0</v>
      </c>
      <c r="F413" s="20">
        <f>SUM(F414:F415)</f>
        <v>0</v>
      </c>
      <c r="G413" s="20">
        <f t="shared" si="56"/>
        <v>0</v>
      </c>
      <c r="H413" s="20">
        <f>SUM(H414:H415)</f>
        <v>0</v>
      </c>
      <c r="I413" s="20">
        <f>SUM(I414:I415)</f>
        <v>0</v>
      </c>
      <c r="J413" s="20">
        <f t="shared" si="57"/>
        <v>0</v>
      </c>
      <c r="K413" s="20">
        <f>SUM(K414:K415)</f>
        <v>20000</v>
      </c>
      <c r="L413" s="20">
        <f>SUM(L414:L415)</f>
        <v>20000</v>
      </c>
      <c r="M413" s="20">
        <f t="shared" si="58"/>
        <v>0</v>
      </c>
      <c r="N413" s="20">
        <f>SUM(N414:N415)</f>
        <v>0</v>
      </c>
      <c r="O413" s="20">
        <f>SUM(O414:O415)</f>
        <v>0</v>
      </c>
      <c r="P413" s="20">
        <f t="shared" si="59"/>
        <v>0</v>
      </c>
      <c r="Q413" s="20">
        <f>SUM(Q414:Q415)</f>
        <v>898550</v>
      </c>
      <c r="R413" s="20">
        <f>SUM(R414:R415)</f>
        <v>898550</v>
      </c>
      <c r="S413" s="20">
        <f t="shared" si="60"/>
        <v>0</v>
      </c>
      <c r="T413" s="20">
        <f>SUM(T414:T415)</f>
        <v>0</v>
      </c>
      <c r="U413" s="20">
        <f>SUM(U414:U415)</f>
        <v>0</v>
      </c>
      <c r="V413" s="20">
        <f t="shared" si="61"/>
        <v>0</v>
      </c>
      <c r="W413" s="20">
        <f>SUM(W414:W415)</f>
        <v>0</v>
      </c>
      <c r="X413" s="20">
        <f>SUM(X414:X415)</f>
        <v>0</v>
      </c>
      <c r="Y413" s="20">
        <f t="shared" si="62"/>
        <v>0</v>
      </c>
      <c r="Z413" s="20">
        <f>SUM(Z414:Z415)</f>
        <v>0</v>
      </c>
      <c r="AA413" s="20">
        <f>SUM(AA414:AA415)</f>
        <v>0</v>
      </c>
      <c r="AB413" s="20">
        <f t="shared" si="63"/>
        <v>0</v>
      </c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1"/>
      <c r="BM413" s="21"/>
      <c r="BN413" s="21"/>
      <c r="BO413" s="21"/>
      <c r="BP413" s="21"/>
      <c r="BQ413" s="21"/>
      <c r="BR413" s="21"/>
      <c r="BS413" s="21"/>
      <c r="BT413" s="21"/>
      <c r="BU413" s="21"/>
      <c r="BV413" s="21"/>
      <c r="BW413" s="21"/>
      <c r="BX413" s="21"/>
      <c r="BY413" s="21"/>
      <c r="BZ413" s="21"/>
      <c r="CA413" s="21"/>
      <c r="CB413" s="21"/>
      <c r="CC413" s="21"/>
      <c r="CD413" s="21"/>
      <c r="CE413" s="21"/>
      <c r="CF413" s="21"/>
      <c r="CG413" s="21"/>
      <c r="CH413" s="21"/>
      <c r="CI413" s="21"/>
      <c r="CJ413" s="21"/>
      <c r="CK413" s="21"/>
      <c r="CL413" s="21"/>
      <c r="CM413" s="21"/>
      <c r="CN413" s="21"/>
      <c r="CO413" s="21"/>
      <c r="CP413" s="21"/>
      <c r="CQ413" s="21"/>
      <c r="CR413" s="21"/>
      <c r="CS413" s="21"/>
      <c r="CT413" s="21"/>
      <c r="CU413" s="21"/>
      <c r="CV413" s="21"/>
      <c r="CW413" s="21"/>
      <c r="CX413" s="21"/>
      <c r="CY413" s="21"/>
      <c r="CZ413" s="21"/>
      <c r="DA413" s="21"/>
      <c r="DB413" s="21"/>
      <c r="DC413" s="21"/>
      <c r="DD413" s="21"/>
      <c r="DE413" s="21"/>
      <c r="DF413" s="21"/>
      <c r="DG413" s="21"/>
      <c r="DH413" s="21"/>
      <c r="DI413" s="21"/>
      <c r="DJ413" s="21"/>
      <c r="DK413" s="21"/>
      <c r="DL413" s="21"/>
      <c r="DM413" s="21"/>
      <c r="DN413" s="21"/>
      <c r="DO413" s="21"/>
      <c r="DP413" s="21"/>
      <c r="DQ413" s="21"/>
      <c r="DR413" s="21"/>
      <c r="DS413" s="21"/>
      <c r="DT413" s="21"/>
      <c r="DU413" s="21"/>
      <c r="DV413" s="21"/>
      <c r="DW413" s="21"/>
      <c r="DX413" s="21"/>
      <c r="DY413" s="21"/>
      <c r="DZ413" s="21"/>
      <c r="EA413" s="21"/>
      <c r="EB413" s="21"/>
      <c r="EC413" s="21"/>
      <c r="ED413" s="21"/>
      <c r="EE413" s="21"/>
      <c r="EF413" s="21"/>
      <c r="EG413" s="21"/>
      <c r="EH413" s="21"/>
      <c r="EI413" s="21"/>
      <c r="EJ413" s="21"/>
      <c r="EK413" s="21"/>
      <c r="EL413" s="21"/>
      <c r="EM413" s="21"/>
      <c r="EN413" s="21"/>
      <c r="EO413" s="21"/>
      <c r="EP413" s="21"/>
      <c r="EQ413" s="21"/>
      <c r="ER413" s="21"/>
      <c r="ES413" s="21"/>
      <c r="ET413" s="21"/>
      <c r="EU413" s="21"/>
      <c r="EV413" s="21"/>
      <c r="EW413" s="21"/>
      <c r="EX413" s="21"/>
      <c r="EY413" s="21"/>
      <c r="EZ413" s="21"/>
      <c r="FA413" s="21"/>
      <c r="FB413" s="21"/>
      <c r="FC413" s="21"/>
      <c r="FD413" s="21"/>
      <c r="FE413" s="21"/>
      <c r="FF413" s="21"/>
      <c r="FG413" s="21"/>
      <c r="FH413" s="21"/>
      <c r="FI413" s="21"/>
      <c r="FJ413" s="21"/>
      <c r="FK413" s="21"/>
      <c r="FL413" s="21"/>
      <c r="FM413" s="21"/>
      <c r="FN413" s="21"/>
      <c r="FO413" s="21"/>
      <c r="FP413" s="21"/>
      <c r="FQ413" s="21"/>
      <c r="FR413" s="21"/>
      <c r="FS413" s="21"/>
      <c r="FT413" s="21"/>
      <c r="FU413" s="21"/>
      <c r="FV413" s="21"/>
      <c r="FW413" s="21"/>
      <c r="FX413" s="21"/>
      <c r="FY413" s="21"/>
      <c r="FZ413" s="21"/>
      <c r="GA413" s="21"/>
      <c r="GB413" s="21"/>
      <c r="GC413" s="21"/>
      <c r="GD413" s="21"/>
      <c r="GE413" s="21"/>
      <c r="GF413" s="21"/>
      <c r="GG413" s="21"/>
      <c r="GH413" s="21"/>
      <c r="GI413" s="21"/>
      <c r="GJ413" s="21"/>
      <c r="GK413" s="21"/>
      <c r="GL413" s="21"/>
    </row>
    <row r="414" spans="1:194" s="22" customFormat="1" x14ac:dyDescent="0.25">
      <c r="A414" s="27" t="s">
        <v>342</v>
      </c>
      <c r="B414" s="28">
        <f t="shared" si="55"/>
        <v>20000</v>
      </c>
      <c r="C414" s="28">
        <f t="shared" si="55"/>
        <v>20000</v>
      </c>
      <c r="D414" s="28">
        <f t="shared" si="55"/>
        <v>0</v>
      </c>
      <c r="E414" s="28"/>
      <c r="F414" s="28"/>
      <c r="G414" s="28">
        <f t="shared" si="56"/>
        <v>0</v>
      </c>
      <c r="H414" s="28"/>
      <c r="I414" s="28"/>
      <c r="J414" s="28">
        <f t="shared" si="57"/>
        <v>0</v>
      </c>
      <c r="K414" s="28">
        <v>20000</v>
      </c>
      <c r="L414" s="28">
        <v>20000</v>
      </c>
      <c r="M414" s="28">
        <f t="shared" si="58"/>
        <v>0</v>
      </c>
      <c r="N414" s="28"/>
      <c r="O414" s="28"/>
      <c r="P414" s="28">
        <f t="shared" si="59"/>
        <v>0</v>
      </c>
      <c r="Q414" s="28"/>
      <c r="R414" s="28"/>
      <c r="S414" s="28">
        <f t="shared" si="60"/>
        <v>0</v>
      </c>
      <c r="T414" s="28"/>
      <c r="U414" s="28"/>
      <c r="V414" s="28">
        <f t="shared" si="61"/>
        <v>0</v>
      </c>
      <c r="W414" s="28"/>
      <c r="X414" s="28"/>
      <c r="Y414" s="28">
        <f t="shared" si="62"/>
        <v>0</v>
      </c>
      <c r="Z414" s="28"/>
      <c r="AA414" s="28"/>
      <c r="AB414" s="28">
        <f t="shared" si="63"/>
        <v>0</v>
      </c>
    </row>
    <row r="415" spans="1:194" s="22" customFormat="1" ht="31.5" x14ac:dyDescent="0.25">
      <c r="A415" s="27" t="s">
        <v>163</v>
      </c>
      <c r="B415" s="28">
        <f t="shared" si="55"/>
        <v>898550</v>
      </c>
      <c r="C415" s="28">
        <f t="shared" si="55"/>
        <v>898550</v>
      </c>
      <c r="D415" s="28">
        <f t="shared" si="55"/>
        <v>0</v>
      </c>
      <c r="E415" s="28"/>
      <c r="F415" s="28"/>
      <c r="G415" s="28">
        <f t="shared" si="56"/>
        <v>0</v>
      </c>
      <c r="H415" s="28"/>
      <c r="I415" s="28"/>
      <c r="J415" s="28">
        <f t="shared" si="57"/>
        <v>0</v>
      </c>
      <c r="K415" s="28"/>
      <c r="L415" s="28"/>
      <c r="M415" s="28">
        <f t="shared" si="58"/>
        <v>0</v>
      </c>
      <c r="N415" s="28"/>
      <c r="O415" s="28"/>
      <c r="P415" s="28">
        <f t="shared" si="59"/>
        <v>0</v>
      </c>
      <c r="Q415" s="28">
        <v>898550</v>
      </c>
      <c r="R415" s="28">
        <v>898550</v>
      </c>
      <c r="S415" s="28">
        <f t="shared" si="60"/>
        <v>0</v>
      </c>
      <c r="T415" s="28"/>
      <c r="U415" s="28"/>
      <c r="V415" s="28">
        <f t="shared" si="61"/>
        <v>0</v>
      </c>
      <c r="W415" s="28"/>
      <c r="X415" s="28"/>
      <c r="Y415" s="28">
        <f t="shared" si="62"/>
        <v>0</v>
      </c>
      <c r="Z415" s="28"/>
      <c r="AA415" s="28"/>
      <c r="AB415" s="28">
        <f t="shared" si="63"/>
        <v>0</v>
      </c>
      <c r="FS415" s="21"/>
      <c r="FT415" s="21"/>
      <c r="FU415" s="21"/>
      <c r="FV415" s="21"/>
      <c r="FW415" s="21"/>
      <c r="FX415" s="21"/>
      <c r="FY415" s="21"/>
      <c r="FZ415" s="21"/>
      <c r="GA415" s="21"/>
      <c r="GB415" s="21"/>
      <c r="GC415" s="21"/>
      <c r="GD415" s="21"/>
      <c r="GE415" s="21"/>
      <c r="GF415" s="21"/>
      <c r="GG415" s="21"/>
      <c r="GH415" s="21"/>
      <c r="GI415" s="21"/>
      <c r="GJ415" s="21"/>
      <c r="GK415" s="21"/>
      <c r="GL415" s="21"/>
    </row>
    <row r="416" spans="1:194" s="22" customFormat="1" x14ac:dyDescent="0.25">
      <c r="A416" s="19" t="s">
        <v>184</v>
      </c>
      <c r="B416" s="20">
        <f t="shared" si="55"/>
        <v>538986</v>
      </c>
      <c r="C416" s="20">
        <f t="shared" si="55"/>
        <v>538986</v>
      </c>
      <c r="D416" s="20">
        <f t="shared" si="55"/>
        <v>0</v>
      </c>
      <c r="E416" s="20">
        <f>SUM(E417:E417)</f>
        <v>0</v>
      </c>
      <c r="F416" s="20">
        <f>SUM(F417:F417)</f>
        <v>0</v>
      </c>
      <c r="G416" s="20">
        <f t="shared" si="56"/>
        <v>0</v>
      </c>
      <c r="H416" s="20">
        <f>SUM(H417:H417)</f>
        <v>0</v>
      </c>
      <c r="I416" s="20">
        <f>SUM(I417:I417)</f>
        <v>0</v>
      </c>
      <c r="J416" s="20">
        <f t="shared" si="57"/>
        <v>0</v>
      </c>
      <c r="K416" s="20">
        <f>SUM(K417:K417)</f>
        <v>0</v>
      </c>
      <c r="L416" s="20">
        <f>SUM(L417:L417)</f>
        <v>0</v>
      </c>
      <c r="M416" s="20">
        <f t="shared" si="58"/>
        <v>0</v>
      </c>
      <c r="N416" s="20">
        <f>SUM(N417:N417)</f>
        <v>0</v>
      </c>
      <c r="O416" s="20">
        <f>SUM(O417:O417)</f>
        <v>0</v>
      </c>
      <c r="P416" s="20">
        <f t="shared" si="59"/>
        <v>0</v>
      </c>
      <c r="Q416" s="20">
        <f>SUM(Q417:Q417)</f>
        <v>538986</v>
      </c>
      <c r="R416" s="20">
        <f>SUM(R417:R417)</f>
        <v>538986</v>
      </c>
      <c r="S416" s="20">
        <f t="shared" si="60"/>
        <v>0</v>
      </c>
      <c r="T416" s="20">
        <f>SUM(T417:T417)</f>
        <v>0</v>
      </c>
      <c r="U416" s="20">
        <f>SUM(U417:U417)</f>
        <v>0</v>
      </c>
      <c r="V416" s="20">
        <f t="shared" si="61"/>
        <v>0</v>
      </c>
      <c r="W416" s="20">
        <f>SUM(W417:W417)</f>
        <v>0</v>
      </c>
      <c r="X416" s="20">
        <f>SUM(X417:X417)</f>
        <v>0</v>
      </c>
      <c r="Y416" s="20">
        <f t="shared" si="62"/>
        <v>0</v>
      </c>
      <c r="Z416" s="20">
        <f>SUM(Z417:Z417)</f>
        <v>0</v>
      </c>
      <c r="AA416" s="20">
        <f>SUM(AA417:AA417)</f>
        <v>0</v>
      </c>
      <c r="AB416" s="20">
        <f t="shared" si="63"/>
        <v>0</v>
      </c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  <c r="BL416" s="21"/>
      <c r="BM416" s="21"/>
      <c r="BN416" s="21"/>
      <c r="BO416" s="21"/>
      <c r="BP416" s="21"/>
      <c r="BQ416" s="21"/>
      <c r="BR416" s="21"/>
      <c r="BS416" s="21"/>
      <c r="BT416" s="21"/>
      <c r="BU416" s="21"/>
      <c r="BV416" s="21"/>
      <c r="BW416" s="21"/>
      <c r="BX416" s="21"/>
      <c r="BY416" s="21"/>
      <c r="BZ416" s="21"/>
      <c r="CA416" s="21"/>
      <c r="CB416" s="21"/>
      <c r="CC416" s="21"/>
      <c r="CD416" s="21"/>
      <c r="CE416" s="21"/>
      <c r="CF416" s="21"/>
      <c r="CG416" s="21"/>
      <c r="CH416" s="21"/>
      <c r="CI416" s="21"/>
      <c r="CJ416" s="21"/>
      <c r="CK416" s="21"/>
      <c r="CL416" s="21"/>
      <c r="CM416" s="21"/>
      <c r="CN416" s="21"/>
      <c r="CO416" s="21"/>
      <c r="CP416" s="21"/>
      <c r="CQ416" s="21"/>
      <c r="CR416" s="21"/>
      <c r="CS416" s="21"/>
      <c r="CT416" s="21"/>
      <c r="CU416" s="21"/>
      <c r="CV416" s="21"/>
      <c r="CW416" s="21"/>
      <c r="CX416" s="21"/>
      <c r="CY416" s="21"/>
      <c r="CZ416" s="21"/>
      <c r="DA416" s="21"/>
      <c r="DB416" s="21"/>
      <c r="DC416" s="21"/>
      <c r="DD416" s="21"/>
      <c r="DE416" s="21"/>
      <c r="DF416" s="21"/>
      <c r="DG416" s="21"/>
      <c r="DH416" s="21"/>
      <c r="DI416" s="21"/>
      <c r="DJ416" s="21"/>
      <c r="DK416" s="21"/>
      <c r="DL416" s="21"/>
      <c r="DM416" s="21"/>
      <c r="DN416" s="21"/>
      <c r="DO416" s="21"/>
      <c r="DP416" s="21"/>
      <c r="DQ416" s="21"/>
      <c r="DR416" s="21"/>
      <c r="DS416" s="21"/>
      <c r="DT416" s="21"/>
      <c r="DU416" s="21"/>
      <c r="DV416" s="21"/>
      <c r="DW416" s="21"/>
      <c r="DX416" s="21"/>
      <c r="DY416" s="21"/>
      <c r="DZ416" s="21"/>
      <c r="EA416" s="21"/>
      <c r="EB416" s="21"/>
      <c r="EC416" s="21"/>
      <c r="ED416" s="21"/>
      <c r="EE416" s="21"/>
      <c r="EF416" s="21"/>
      <c r="EG416" s="21"/>
      <c r="EH416" s="21"/>
      <c r="EI416" s="21"/>
      <c r="EJ416" s="21"/>
      <c r="EK416" s="21"/>
      <c r="EL416" s="21"/>
      <c r="EM416" s="21"/>
      <c r="EN416" s="21"/>
      <c r="EO416" s="21"/>
      <c r="EP416" s="21"/>
      <c r="EQ416" s="21"/>
      <c r="ER416" s="21"/>
      <c r="ES416" s="21"/>
      <c r="ET416" s="21"/>
      <c r="EU416" s="21"/>
      <c r="EV416" s="21"/>
      <c r="EW416" s="21"/>
      <c r="EX416" s="21"/>
      <c r="EY416" s="21"/>
      <c r="EZ416" s="21"/>
      <c r="FA416" s="21"/>
      <c r="FB416" s="21"/>
      <c r="FC416" s="21"/>
      <c r="FD416" s="21"/>
      <c r="FE416" s="21"/>
      <c r="FF416" s="21"/>
      <c r="FG416" s="21"/>
      <c r="FH416" s="21"/>
      <c r="FI416" s="21"/>
      <c r="FJ416" s="21"/>
      <c r="FK416" s="21"/>
      <c r="FL416" s="21"/>
      <c r="FM416" s="21"/>
      <c r="FN416" s="21"/>
      <c r="FO416" s="21"/>
      <c r="FP416" s="21"/>
      <c r="FQ416" s="21"/>
      <c r="FR416" s="21"/>
      <c r="FS416" s="21"/>
      <c r="FT416" s="21"/>
      <c r="FU416" s="21"/>
      <c r="FV416" s="21"/>
      <c r="FW416" s="21"/>
      <c r="FX416" s="21"/>
      <c r="FY416" s="21"/>
      <c r="FZ416" s="21"/>
      <c r="GA416" s="21"/>
      <c r="GB416" s="21"/>
      <c r="GC416" s="21"/>
      <c r="GD416" s="21"/>
      <c r="GE416" s="21"/>
      <c r="GF416" s="21"/>
      <c r="GG416" s="21"/>
      <c r="GH416" s="21"/>
      <c r="GI416" s="21"/>
      <c r="GJ416" s="21"/>
      <c r="GK416" s="21"/>
      <c r="GL416" s="21"/>
    </row>
    <row r="417" spans="1:194" s="22" customFormat="1" ht="47.25" x14ac:dyDescent="0.25">
      <c r="A417" s="27" t="s">
        <v>343</v>
      </c>
      <c r="B417" s="28">
        <f t="shared" si="55"/>
        <v>538986</v>
      </c>
      <c r="C417" s="28">
        <f t="shared" si="55"/>
        <v>538986</v>
      </c>
      <c r="D417" s="28">
        <f t="shared" si="55"/>
        <v>0</v>
      </c>
      <c r="E417" s="28"/>
      <c r="F417" s="28"/>
      <c r="G417" s="28">
        <f t="shared" si="56"/>
        <v>0</v>
      </c>
      <c r="H417" s="28"/>
      <c r="I417" s="28"/>
      <c r="J417" s="28">
        <f t="shared" si="57"/>
        <v>0</v>
      </c>
      <c r="K417" s="28"/>
      <c r="L417" s="28"/>
      <c r="M417" s="28">
        <f t="shared" si="58"/>
        <v>0</v>
      </c>
      <c r="N417" s="28"/>
      <c r="O417" s="28"/>
      <c r="P417" s="28">
        <f t="shared" si="59"/>
        <v>0</v>
      </c>
      <c r="Q417" s="28">
        <f>485280+53706</f>
        <v>538986</v>
      </c>
      <c r="R417" s="28">
        <f>485280+53706</f>
        <v>538986</v>
      </c>
      <c r="S417" s="28">
        <f t="shared" si="60"/>
        <v>0</v>
      </c>
      <c r="T417" s="28"/>
      <c r="U417" s="28"/>
      <c r="V417" s="28">
        <f t="shared" si="61"/>
        <v>0</v>
      </c>
      <c r="W417" s="28"/>
      <c r="X417" s="28"/>
      <c r="Y417" s="28">
        <f t="shared" si="62"/>
        <v>0</v>
      </c>
      <c r="Z417" s="28"/>
      <c r="AA417" s="28"/>
      <c r="AB417" s="28">
        <f t="shared" si="63"/>
        <v>0</v>
      </c>
      <c r="FS417" s="21"/>
      <c r="FT417" s="21"/>
      <c r="FU417" s="21"/>
      <c r="FV417" s="21"/>
      <c r="FW417" s="21"/>
      <c r="FX417" s="21"/>
      <c r="FY417" s="21"/>
      <c r="FZ417" s="21"/>
      <c r="GA417" s="21"/>
      <c r="GB417" s="21"/>
      <c r="GC417" s="21"/>
      <c r="GD417" s="21"/>
      <c r="GE417" s="21"/>
      <c r="GF417" s="21"/>
      <c r="GG417" s="21"/>
      <c r="GH417" s="21"/>
      <c r="GI417" s="21"/>
      <c r="GJ417" s="21"/>
      <c r="GK417" s="21"/>
      <c r="GL417" s="21"/>
    </row>
    <row r="418" spans="1:194" s="21" customFormat="1" x14ac:dyDescent="0.25">
      <c r="A418" s="19" t="s">
        <v>344</v>
      </c>
      <c r="B418" s="20">
        <f t="shared" si="55"/>
        <v>326986</v>
      </c>
      <c r="C418" s="20">
        <f t="shared" si="55"/>
        <v>335415</v>
      </c>
      <c r="D418" s="20">
        <f t="shared" si="55"/>
        <v>8429</v>
      </c>
      <c r="E418" s="20">
        <f>SUM(E419,E430,E442,E445,E450,E433,E439)</f>
        <v>18000</v>
      </c>
      <c r="F418" s="20">
        <f>SUM(F419,F430,F442,F445,F450,F433,F439)</f>
        <v>18000</v>
      </c>
      <c r="G418" s="20">
        <f t="shared" si="56"/>
        <v>0</v>
      </c>
      <c r="H418" s="20">
        <f>SUM(H419,H430,H442,H445,H450,H433,H439)</f>
        <v>0</v>
      </c>
      <c r="I418" s="20">
        <f>SUM(I419,I430,I442,I445,I450,I433,I439)</f>
        <v>0</v>
      </c>
      <c r="J418" s="20">
        <f t="shared" si="57"/>
        <v>0</v>
      </c>
      <c r="K418" s="20">
        <f>SUM(K419,K430,K442,K445,K450,K433,K439)</f>
        <v>184406</v>
      </c>
      <c r="L418" s="20">
        <f>SUM(L419,L430,L442,L445,L450,L433,L439)</f>
        <v>192835</v>
      </c>
      <c r="M418" s="20">
        <f t="shared" si="58"/>
        <v>8429</v>
      </c>
      <c r="N418" s="20">
        <f>SUM(N419,N430,N442,N445,N450,N433,N439)</f>
        <v>5000</v>
      </c>
      <c r="O418" s="20">
        <f>SUM(O419,O430,O442,O445,O450,O433,O439)</f>
        <v>5000</v>
      </c>
      <c r="P418" s="20">
        <f t="shared" si="59"/>
        <v>0</v>
      </c>
      <c r="Q418" s="20">
        <f>SUM(Q419,Q430,Q442,Q445,Q450,Q433,Q439)</f>
        <v>71640</v>
      </c>
      <c r="R418" s="20">
        <f>SUM(R419,R430,R442,R445,R450,R433,R439)</f>
        <v>71640</v>
      </c>
      <c r="S418" s="20">
        <f t="shared" si="60"/>
        <v>0</v>
      </c>
      <c r="T418" s="20">
        <f>SUM(T419,T430,T442,T445,T450,T433,T439)</f>
        <v>0</v>
      </c>
      <c r="U418" s="20">
        <f>SUM(U419,U430,U442,U445,U450,U433,U439)</f>
        <v>0</v>
      </c>
      <c r="V418" s="20">
        <f t="shared" si="61"/>
        <v>0</v>
      </c>
      <c r="W418" s="20">
        <f>SUM(W419,W430,W442,W445,W450,W433,W439)</f>
        <v>0</v>
      </c>
      <c r="X418" s="20">
        <f>SUM(X419,X430,X442,X445,X450,X433,X439)</f>
        <v>0</v>
      </c>
      <c r="Y418" s="20">
        <f t="shared" si="62"/>
        <v>0</v>
      </c>
      <c r="Z418" s="20">
        <f>SUM(Z419,Z430,Z442,Z445,Z450,Z433,Z439)</f>
        <v>47940</v>
      </c>
      <c r="AA418" s="20">
        <f>SUM(AA419,AA430,AA442,AA445,AA450,AA433,AA439)</f>
        <v>47940</v>
      </c>
      <c r="AB418" s="20">
        <f t="shared" si="63"/>
        <v>0</v>
      </c>
      <c r="FS418" s="22"/>
      <c r="FT418" s="22"/>
      <c r="FU418" s="22"/>
      <c r="FV418" s="22"/>
      <c r="FW418" s="22"/>
      <c r="FX418" s="22"/>
      <c r="FY418" s="22"/>
      <c r="FZ418" s="22"/>
      <c r="GA418" s="22"/>
      <c r="GB418" s="22"/>
      <c r="GC418" s="22"/>
      <c r="GD418" s="22"/>
      <c r="GE418" s="22"/>
      <c r="GF418" s="22"/>
      <c r="GG418" s="22"/>
      <c r="GH418" s="22"/>
      <c r="GI418" s="22"/>
      <c r="GJ418" s="22"/>
      <c r="GK418" s="22"/>
      <c r="GL418" s="22"/>
    </row>
    <row r="419" spans="1:194" s="22" customFormat="1" x14ac:dyDescent="0.25">
      <c r="A419" s="19" t="s">
        <v>19</v>
      </c>
      <c r="B419" s="20">
        <f t="shared" si="55"/>
        <v>223346</v>
      </c>
      <c r="C419" s="20">
        <f t="shared" si="55"/>
        <v>223346</v>
      </c>
      <c r="D419" s="20">
        <f t="shared" si="55"/>
        <v>0</v>
      </c>
      <c r="E419" s="20">
        <f>SUM(E420,E428)</f>
        <v>18000</v>
      </c>
      <c r="F419" s="20">
        <f>SUM(F420,F428)</f>
        <v>18000</v>
      </c>
      <c r="G419" s="20">
        <f t="shared" si="56"/>
        <v>0</v>
      </c>
      <c r="H419" s="20">
        <f>SUM(H420,H428)</f>
        <v>0</v>
      </c>
      <c r="I419" s="20">
        <f>SUM(I420,I428)</f>
        <v>0</v>
      </c>
      <c r="J419" s="20">
        <f t="shared" si="57"/>
        <v>0</v>
      </c>
      <c r="K419" s="20">
        <f>SUM(K420,K428)</f>
        <v>184406</v>
      </c>
      <c r="L419" s="20">
        <f>SUM(L420,L428)</f>
        <v>184406</v>
      </c>
      <c r="M419" s="20">
        <f t="shared" si="58"/>
        <v>0</v>
      </c>
      <c r="N419" s="20">
        <f>SUM(N420,N428)</f>
        <v>0</v>
      </c>
      <c r="O419" s="20">
        <f>SUM(O420,O428)</f>
        <v>0</v>
      </c>
      <c r="P419" s="20">
        <f t="shared" si="59"/>
        <v>0</v>
      </c>
      <c r="Q419" s="20">
        <f>SUM(Q420,Q428)</f>
        <v>0</v>
      </c>
      <c r="R419" s="20">
        <f>SUM(R420,R428)</f>
        <v>0</v>
      </c>
      <c r="S419" s="20">
        <f t="shared" si="60"/>
        <v>0</v>
      </c>
      <c r="T419" s="20">
        <f>SUM(T420,T428)</f>
        <v>0</v>
      </c>
      <c r="U419" s="20">
        <f>SUM(U420,U428)</f>
        <v>0</v>
      </c>
      <c r="V419" s="20">
        <f t="shared" si="61"/>
        <v>0</v>
      </c>
      <c r="W419" s="20">
        <f>SUM(W420,W428)</f>
        <v>0</v>
      </c>
      <c r="X419" s="20">
        <f>SUM(X420,X428)</f>
        <v>0</v>
      </c>
      <c r="Y419" s="20">
        <f t="shared" si="62"/>
        <v>0</v>
      </c>
      <c r="Z419" s="20">
        <f>SUM(Z420,Z428)</f>
        <v>20940</v>
      </c>
      <c r="AA419" s="20">
        <f>SUM(AA420,AA428)</f>
        <v>20940</v>
      </c>
      <c r="AB419" s="20">
        <f t="shared" si="63"/>
        <v>0</v>
      </c>
    </row>
    <row r="420" spans="1:194" s="22" customFormat="1" ht="31.5" x14ac:dyDescent="0.25">
      <c r="A420" s="19" t="s">
        <v>345</v>
      </c>
      <c r="B420" s="20">
        <f t="shared" si="55"/>
        <v>223346</v>
      </c>
      <c r="C420" s="20">
        <f t="shared" si="55"/>
        <v>223346</v>
      </c>
      <c r="D420" s="20">
        <f t="shared" si="55"/>
        <v>0</v>
      </c>
      <c r="E420" s="20">
        <f>SUM(E421:E427)</f>
        <v>18000</v>
      </c>
      <c r="F420" s="20">
        <f>SUM(F421:F427)</f>
        <v>18000</v>
      </c>
      <c r="G420" s="20">
        <f t="shared" si="56"/>
        <v>0</v>
      </c>
      <c r="H420" s="20">
        <f>SUM(H421:H427)</f>
        <v>0</v>
      </c>
      <c r="I420" s="20">
        <f>SUM(I421:I427)</f>
        <v>0</v>
      </c>
      <c r="J420" s="20">
        <f t="shared" si="57"/>
        <v>0</v>
      </c>
      <c r="K420" s="20">
        <f>SUM(K421:K427)</f>
        <v>184406</v>
      </c>
      <c r="L420" s="20">
        <f>SUM(L421:L427)</f>
        <v>184406</v>
      </c>
      <c r="M420" s="20">
        <f t="shared" si="58"/>
        <v>0</v>
      </c>
      <c r="N420" s="20">
        <f>SUM(N421:N427)</f>
        <v>0</v>
      </c>
      <c r="O420" s="20">
        <f>SUM(O421:O427)</f>
        <v>0</v>
      </c>
      <c r="P420" s="20">
        <f t="shared" si="59"/>
        <v>0</v>
      </c>
      <c r="Q420" s="20">
        <f>SUM(Q421:Q427)</f>
        <v>0</v>
      </c>
      <c r="R420" s="20">
        <f>SUM(R421:R427)</f>
        <v>0</v>
      </c>
      <c r="S420" s="20">
        <f t="shared" si="60"/>
        <v>0</v>
      </c>
      <c r="T420" s="20">
        <f>SUM(T421:T427)</f>
        <v>0</v>
      </c>
      <c r="U420" s="20">
        <f>SUM(U421:U427)</f>
        <v>0</v>
      </c>
      <c r="V420" s="20">
        <f t="shared" si="61"/>
        <v>0</v>
      </c>
      <c r="W420" s="20">
        <f>SUM(W421:W427)</f>
        <v>0</v>
      </c>
      <c r="X420" s="20">
        <f>SUM(X421:X427)</f>
        <v>0</v>
      </c>
      <c r="Y420" s="20">
        <f t="shared" si="62"/>
        <v>0</v>
      </c>
      <c r="Z420" s="20">
        <f>SUM(Z421:Z427)</f>
        <v>20940</v>
      </c>
      <c r="AA420" s="20">
        <f>SUM(AA421:AA427)</f>
        <v>20940</v>
      </c>
      <c r="AB420" s="20">
        <f t="shared" si="63"/>
        <v>0</v>
      </c>
    </row>
    <row r="421" spans="1:194" s="22" customFormat="1" ht="31.5" x14ac:dyDescent="0.25">
      <c r="A421" s="37" t="s">
        <v>346</v>
      </c>
      <c r="B421" s="25">
        <f t="shared" si="55"/>
        <v>18000</v>
      </c>
      <c r="C421" s="25">
        <f t="shared" si="55"/>
        <v>18000</v>
      </c>
      <c r="D421" s="25">
        <f t="shared" si="55"/>
        <v>0</v>
      </c>
      <c r="E421" s="25">
        <v>18000</v>
      </c>
      <c r="F421" s="25">
        <v>18000</v>
      </c>
      <c r="G421" s="25">
        <f t="shared" si="56"/>
        <v>0</v>
      </c>
      <c r="H421" s="25"/>
      <c r="I421" s="25"/>
      <c r="J421" s="25">
        <f t="shared" si="57"/>
        <v>0</v>
      </c>
      <c r="K421" s="25"/>
      <c r="L421" s="25"/>
      <c r="M421" s="25">
        <f t="shared" si="58"/>
        <v>0</v>
      </c>
      <c r="N421" s="25"/>
      <c r="O421" s="25"/>
      <c r="P421" s="25">
        <f t="shared" si="59"/>
        <v>0</v>
      </c>
      <c r="Q421" s="25"/>
      <c r="R421" s="25"/>
      <c r="S421" s="25">
        <f t="shared" si="60"/>
        <v>0</v>
      </c>
      <c r="T421" s="25"/>
      <c r="U421" s="25"/>
      <c r="V421" s="25">
        <f t="shared" si="61"/>
        <v>0</v>
      </c>
      <c r="W421" s="25"/>
      <c r="X421" s="25"/>
      <c r="Y421" s="25">
        <f t="shared" si="62"/>
        <v>0</v>
      </c>
      <c r="Z421" s="25"/>
      <c r="AA421" s="25"/>
      <c r="AB421" s="25">
        <f t="shared" si="63"/>
        <v>0</v>
      </c>
    </row>
    <row r="422" spans="1:194" s="22" customFormat="1" ht="63" x14ac:dyDescent="0.25">
      <c r="A422" s="37" t="s">
        <v>347</v>
      </c>
      <c r="B422" s="25">
        <f t="shared" si="55"/>
        <v>35940</v>
      </c>
      <c r="C422" s="25">
        <f t="shared" si="55"/>
        <v>35940</v>
      </c>
      <c r="D422" s="25">
        <f t="shared" si="55"/>
        <v>0</v>
      </c>
      <c r="E422" s="25"/>
      <c r="F422" s="25"/>
      <c r="G422" s="25">
        <f t="shared" si="56"/>
        <v>0</v>
      </c>
      <c r="H422" s="25"/>
      <c r="I422" s="25"/>
      <c r="J422" s="25">
        <f t="shared" si="57"/>
        <v>0</v>
      </c>
      <c r="K422" s="25">
        <v>15000</v>
      </c>
      <c r="L422" s="25">
        <v>15000</v>
      </c>
      <c r="M422" s="25">
        <f t="shared" si="58"/>
        <v>0</v>
      </c>
      <c r="N422" s="25">
        <v>0</v>
      </c>
      <c r="O422" s="25">
        <v>0</v>
      </c>
      <c r="P422" s="25">
        <f t="shared" si="59"/>
        <v>0</v>
      </c>
      <c r="Q422" s="25"/>
      <c r="R422" s="25"/>
      <c r="S422" s="25">
        <f t="shared" si="60"/>
        <v>0</v>
      </c>
      <c r="T422" s="25"/>
      <c r="U422" s="25"/>
      <c r="V422" s="25">
        <f t="shared" si="61"/>
        <v>0</v>
      </c>
      <c r="W422" s="25"/>
      <c r="X422" s="25"/>
      <c r="Y422" s="25">
        <f t="shared" si="62"/>
        <v>0</v>
      </c>
      <c r="Z422" s="25">
        <v>20940</v>
      </c>
      <c r="AA422" s="25">
        <v>20940</v>
      </c>
      <c r="AB422" s="25">
        <f t="shared" si="63"/>
        <v>0</v>
      </c>
    </row>
    <row r="423" spans="1:194" s="22" customFormat="1" ht="31.5" x14ac:dyDescent="0.25">
      <c r="A423" s="37" t="s">
        <v>348</v>
      </c>
      <c r="B423" s="25">
        <f t="shared" si="55"/>
        <v>35880</v>
      </c>
      <c r="C423" s="25">
        <f t="shared" si="55"/>
        <v>35880</v>
      </c>
      <c r="D423" s="25">
        <f t="shared" si="55"/>
        <v>0</v>
      </c>
      <c r="E423" s="25"/>
      <c r="F423" s="25"/>
      <c r="G423" s="25">
        <f t="shared" si="56"/>
        <v>0</v>
      </c>
      <c r="H423" s="25"/>
      <c r="I423" s="25"/>
      <c r="J423" s="25">
        <f t="shared" si="57"/>
        <v>0</v>
      </c>
      <c r="K423" s="25">
        <f>34800+1080</f>
        <v>35880</v>
      </c>
      <c r="L423" s="25">
        <f>34800+1080</f>
        <v>35880</v>
      </c>
      <c r="M423" s="25">
        <f t="shared" si="58"/>
        <v>0</v>
      </c>
      <c r="N423" s="25">
        <v>0</v>
      </c>
      <c r="O423" s="25">
        <v>0</v>
      </c>
      <c r="P423" s="25">
        <f t="shared" si="59"/>
        <v>0</v>
      </c>
      <c r="Q423" s="25"/>
      <c r="R423" s="25"/>
      <c r="S423" s="25">
        <f t="shared" si="60"/>
        <v>0</v>
      </c>
      <c r="T423" s="25"/>
      <c r="U423" s="25"/>
      <c r="V423" s="25">
        <f t="shared" si="61"/>
        <v>0</v>
      </c>
      <c r="W423" s="25"/>
      <c r="X423" s="25"/>
      <c r="Y423" s="25">
        <f t="shared" si="62"/>
        <v>0</v>
      </c>
      <c r="Z423" s="25"/>
      <c r="AA423" s="25"/>
      <c r="AB423" s="25">
        <f t="shared" si="63"/>
        <v>0</v>
      </c>
    </row>
    <row r="424" spans="1:194" s="22" customFormat="1" ht="31.5" x14ac:dyDescent="0.25">
      <c r="A424" s="37" t="s">
        <v>349</v>
      </c>
      <c r="B424" s="25">
        <f t="shared" si="55"/>
        <v>72000</v>
      </c>
      <c r="C424" s="25">
        <f t="shared" si="55"/>
        <v>72000</v>
      </c>
      <c r="D424" s="25">
        <f t="shared" si="55"/>
        <v>0</v>
      </c>
      <c r="E424" s="25"/>
      <c r="F424" s="25"/>
      <c r="G424" s="25">
        <f t="shared" si="56"/>
        <v>0</v>
      </c>
      <c r="H424" s="25"/>
      <c r="I424" s="25"/>
      <c r="J424" s="25">
        <f t="shared" si="57"/>
        <v>0</v>
      </c>
      <c r="K424" s="25">
        <f>90000-18000</f>
        <v>72000</v>
      </c>
      <c r="L424" s="25">
        <f>90000-18000</f>
        <v>72000</v>
      </c>
      <c r="M424" s="25">
        <f t="shared" si="58"/>
        <v>0</v>
      </c>
      <c r="N424" s="25">
        <v>0</v>
      </c>
      <c r="O424" s="25">
        <v>0</v>
      </c>
      <c r="P424" s="25">
        <f t="shared" si="59"/>
        <v>0</v>
      </c>
      <c r="Q424" s="25"/>
      <c r="R424" s="25"/>
      <c r="S424" s="25">
        <f t="shared" si="60"/>
        <v>0</v>
      </c>
      <c r="T424" s="25"/>
      <c r="U424" s="25"/>
      <c r="V424" s="25">
        <f t="shared" si="61"/>
        <v>0</v>
      </c>
      <c r="W424" s="25"/>
      <c r="X424" s="25"/>
      <c r="Y424" s="25">
        <f t="shared" si="62"/>
        <v>0</v>
      </c>
      <c r="Z424" s="25"/>
      <c r="AA424" s="25"/>
      <c r="AB424" s="25">
        <f t="shared" si="63"/>
        <v>0</v>
      </c>
    </row>
    <row r="425" spans="1:194" s="22" customFormat="1" x14ac:dyDescent="0.25">
      <c r="A425" s="30" t="s">
        <v>350</v>
      </c>
      <c r="B425" s="28">
        <f t="shared" si="55"/>
        <v>30000</v>
      </c>
      <c r="C425" s="28">
        <f t="shared" si="55"/>
        <v>30000</v>
      </c>
      <c r="D425" s="28">
        <f t="shared" si="55"/>
        <v>0</v>
      </c>
      <c r="E425" s="28"/>
      <c r="F425" s="28"/>
      <c r="G425" s="28">
        <f t="shared" si="56"/>
        <v>0</v>
      </c>
      <c r="H425" s="28"/>
      <c r="I425" s="28"/>
      <c r="J425" s="28">
        <f t="shared" si="57"/>
        <v>0</v>
      </c>
      <c r="K425" s="28">
        <v>30000</v>
      </c>
      <c r="L425" s="28">
        <v>30000</v>
      </c>
      <c r="M425" s="28">
        <f t="shared" si="58"/>
        <v>0</v>
      </c>
      <c r="N425" s="28">
        <v>0</v>
      </c>
      <c r="O425" s="28">
        <v>0</v>
      </c>
      <c r="P425" s="28">
        <f t="shared" si="59"/>
        <v>0</v>
      </c>
      <c r="Q425" s="28"/>
      <c r="R425" s="28"/>
      <c r="S425" s="28">
        <f t="shared" si="60"/>
        <v>0</v>
      </c>
      <c r="T425" s="28"/>
      <c r="U425" s="28"/>
      <c r="V425" s="28">
        <f t="shared" si="61"/>
        <v>0</v>
      </c>
      <c r="W425" s="28"/>
      <c r="X425" s="28"/>
      <c r="Y425" s="28">
        <f t="shared" si="62"/>
        <v>0</v>
      </c>
      <c r="Z425" s="28"/>
      <c r="AA425" s="28"/>
      <c r="AB425" s="28">
        <f t="shared" si="63"/>
        <v>0</v>
      </c>
    </row>
    <row r="426" spans="1:194" s="22" customFormat="1" ht="31.5" x14ac:dyDescent="0.25">
      <c r="A426" s="37" t="s">
        <v>180</v>
      </c>
      <c r="B426" s="28">
        <f t="shared" si="55"/>
        <v>1526</v>
      </c>
      <c r="C426" s="28">
        <f t="shared" si="55"/>
        <v>1526</v>
      </c>
      <c r="D426" s="28">
        <f t="shared" si="55"/>
        <v>0</v>
      </c>
      <c r="E426" s="28"/>
      <c r="F426" s="28"/>
      <c r="G426" s="28">
        <f t="shared" si="56"/>
        <v>0</v>
      </c>
      <c r="H426" s="28"/>
      <c r="I426" s="28"/>
      <c r="J426" s="28">
        <f t="shared" si="57"/>
        <v>0</v>
      </c>
      <c r="K426" s="28">
        <v>1526</v>
      </c>
      <c r="L426" s="28">
        <v>1526</v>
      </c>
      <c r="M426" s="28">
        <f t="shared" si="58"/>
        <v>0</v>
      </c>
      <c r="N426" s="28"/>
      <c r="O426" s="28"/>
      <c r="P426" s="28">
        <f t="shared" si="59"/>
        <v>0</v>
      </c>
      <c r="Q426" s="28"/>
      <c r="R426" s="28"/>
      <c r="S426" s="28">
        <f t="shared" si="60"/>
        <v>0</v>
      </c>
      <c r="T426" s="28"/>
      <c r="U426" s="28"/>
      <c r="V426" s="28">
        <f t="shared" si="61"/>
        <v>0</v>
      </c>
      <c r="W426" s="28"/>
      <c r="X426" s="28"/>
      <c r="Y426" s="28">
        <f t="shared" si="62"/>
        <v>0</v>
      </c>
      <c r="Z426" s="28"/>
      <c r="AA426" s="28"/>
      <c r="AB426" s="28">
        <f t="shared" si="63"/>
        <v>0</v>
      </c>
    </row>
    <row r="427" spans="1:194" s="22" customFormat="1" ht="31.5" x14ac:dyDescent="0.25">
      <c r="A427" s="24" t="s">
        <v>351</v>
      </c>
      <c r="B427" s="25">
        <f t="shared" si="55"/>
        <v>30000</v>
      </c>
      <c r="C427" s="25">
        <f t="shared" si="55"/>
        <v>30000</v>
      </c>
      <c r="D427" s="25">
        <f t="shared" si="55"/>
        <v>0</v>
      </c>
      <c r="E427" s="25"/>
      <c r="F427" s="25"/>
      <c r="G427" s="25">
        <f t="shared" si="56"/>
        <v>0</v>
      </c>
      <c r="H427" s="25"/>
      <c r="I427" s="25"/>
      <c r="J427" s="25">
        <f t="shared" si="57"/>
        <v>0</v>
      </c>
      <c r="K427" s="25">
        <v>30000</v>
      </c>
      <c r="L427" s="25">
        <v>30000</v>
      </c>
      <c r="M427" s="25">
        <f t="shared" si="58"/>
        <v>0</v>
      </c>
      <c r="N427" s="25">
        <v>0</v>
      </c>
      <c r="O427" s="25">
        <v>0</v>
      </c>
      <c r="P427" s="25">
        <f t="shared" si="59"/>
        <v>0</v>
      </c>
      <c r="Q427" s="25"/>
      <c r="R427" s="25"/>
      <c r="S427" s="25">
        <f t="shared" si="60"/>
        <v>0</v>
      </c>
      <c r="T427" s="25"/>
      <c r="U427" s="25"/>
      <c r="V427" s="25">
        <f t="shared" si="61"/>
        <v>0</v>
      </c>
      <c r="W427" s="25"/>
      <c r="X427" s="25"/>
      <c r="Y427" s="25">
        <f t="shared" si="62"/>
        <v>0</v>
      </c>
      <c r="Z427" s="25"/>
      <c r="AA427" s="25"/>
      <c r="AB427" s="25">
        <f t="shared" si="63"/>
        <v>0</v>
      </c>
    </row>
    <row r="428" spans="1:194" s="21" customFormat="1" x14ac:dyDescent="0.25">
      <c r="A428" s="19" t="s">
        <v>352</v>
      </c>
      <c r="B428" s="20">
        <f t="shared" si="55"/>
        <v>0</v>
      </c>
      <c r="C428" s="20">
        <f t="shared" si="55"/>
        <v>0</v>
      </c>
      <c r="D428" s="20">
        <f t="shared" si="55"/>
        <v>0</v>
      </c>
      <c r="E428" s="20">
        <f>SUM(E429)</f>
        <v>0</v>
      </c>
      <c r="F428" s="20">
        <f>SUM(F429)</f>
        <v>0</v>
      </c>
      <c r="G428" s="20">
        <f t="shared" si="56"/>
        <v>0</v>
      </c>
      <c r="H428" s="20">
        <f>SUM(H429)</f>
        <v>0</v>
      </c>
      <c r="I428" s="20">
        <f>SUM(I429)</f>
        <v>0</v>
      </c>
      <c r="J428" s="20">
        <f t="shared" si="57"/>
        <v>0</v>
      </c>
      <c r="K428" s="20">
        <f>SUM(K429)</f>
        <v>0</v>
      </c>
      <c r="L428" s="20">
        <f>SUM(L429)</f>
        <v>0</v>
      </c>
      <c r="M428" s="20">
        <f t="shared" si="58"/>
        <v>0</v>
      </c>
      <c r="N428" s="20">
        <f>SUM(N429)</f>
        <v>0</v>
      </c>
      <c r="O428" s="20">
        <f>SUM(O429)</f>
        <v>0</v>
      </c>
      <c r="P428" s="20">
        <f t="shared" si="59"/>
        <v>0</v>
      </c>
      <c r="Q428" s="20">
        <f>SUM(Q429)</f>
        <v>0</v>
      </c>
      <c r="R428" s="20">
        <f>SUM(R429)</f>
        <v>0</v>
      </c>
      <c r="S428" s="20">
        <f t="shared" si="60"/>
        <v>0</v>
      </c>
      <c r="T428" s="20">
        <f>SUM(T429)</f>
        <v>0</v>
      </c>
      <c r="U428" s="20">
        <f>SUM(U429)</f>
        <v>0</v>
      </c>
      <c r="V428" s="20">
        <f t="shared" si="61"/>
        <v>0</v>
      </c>
      <c r="W428" s="20">
        <f>SUM(W429)</f>
        <v>0</v>
      </c>
      <c r="X428" s="20">
        <f>SUM(X429)</f>
        <v>0</v>
      </c>
      <c r="Y428" s="20">
        <f t="shared" si="62"/>
        <v>0</v>
      </c>
      <c r="Z428" s="20">
        <f>SUM(Z429)</f>
        <v>0</v>
      </c>
      <c r="AA428" s="20">
        <f>SUM(AA429)</f>
        <v>0</v>
      </c>
      <c r="AB428" s="20">
        <f t="shared" si="63"/>
        <v>0</v>
      </c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  <c r="BU428" s="22"/>
      <c r="BV428" s="22"/>
      <c r="BW428" s="22"/>
      <c r="BX428" s="22"/>
      <c r="BY428" s="22"/>
      <c r="BZ428" s="22"/>
      <c r="CA428" s="22"/>
      <c r="CB428" s="22"/>
      <c r="CC428" s="22"/>
      <c r="CD428" s="22"/>
      <c r="CE428" s="22"/>
      <c r="CF428" s="22"/>
      <c r="CG428" s="22"/>
      <c r="CH428" s="22"/>
      <c r="CI428" s="22"/>
      <c r="CJ428" s="22"/>
      <c r="CK428" s="22"/>
      <c r="CL428" s="22"/>
      <c r="CM428" s="22"/>
      <c r="CN428" s="22"/>
      <c r="CO428" s="22"/>
      <c r="CP428" s="22"/>
      <c r="CQ428" s="22"/>
      <c r="CR428" s="22"/>
      <c r="CS428" s="22"/>
      <c r="CT428" s="22"/>
      <c r="CU428" s="22"/>
      <c r="CV428" s="22"/>
      <c r="CW428" s="22"/>
      <c r="CX428" s="22"/>
      <c r="CY428" s="22"/>
      <c r="CZ428" s="22"/>
      <c r="DA428" s="22"/>
      <c r="DB428" s="22"/>
      <c r="DC428" s="22"/>
      <c r="DD428" s="22"/>
      <c r="DE428" s="22"/>
      <c r="DF428" s="22"/>
      <c r="DG428" s="22"/>
      <c r="DH428" s="22"/>
      <c r="DI428" s="22"/>
      <c r="DJ428" s="22"/>
      <c r="DK428" s="22"/>
      <c r="DL428" s="22"/>
      <c r="DM428" s="22"/>
      <c r="DN428" s="22"/>
      <c r="DO428" s="22"/>
      <c r="DP428" s="22"/>
      <c r="DQ428" s="22"/>
      <c r="DR428" s="22"/>
      <c r="DS428" s="22"/>
      <c r="DT428" s="22"/>
      <c r="DU428" s="22"/>
      <c r="DV428" s="22"/>
      <c r="DW428" s="22"/>
      <c r="DX428" s="22"/>
      <c r="DY428" s="22"/>
      <c r="DZ428" s="22"/>
      <c r="EA428" s="22"/>
      <c r="EB428" s="22"/>
      <c r="EC428" s="22"/>
      <c r="ED428" s="22"/>
      <c r="EE428" s="22"/>
      <c r="EF428" s="22"/>
      <c r="EG428" s="22"/>
      <c r="EH428" s="22"/>
      <c r="EI428" s="22"/>
      <c r="EJ428" s="22"/>
      <c r="EK428" s="22"/>
      <c r="EL428" s="22"/>
      <c r="EM428" s="22"/>
      <c r="EN428" s="22"/>
      <c r="EO428" s="22"/>
      <c r="EP428" s="22"/>
      <c r="EQ428" s="22"/>
      <c r="ER428" s="22"/>
      <c r="ES428" s="22"/>
      <c r="ET428" s="22"/>
      <c r="EU428" s="22"/>
      <c r="EV428" s="22"/>
      <c r="EW428" s="22"/>
      <c r="EX428" s="22"/>
      <c r="EY428" s="22"/>
      <c r="EZ428" s="22"/>
      <c r="FA428" s="22"/>
      <c r="FB428" s="22"/>
      <c r="FC428" s="22"/>
      <c r="FD428" s="22"/>
      <c r="FE428" s="22"/>
      <c r="FF428" s="22"/>
      <c r="FG428" s="22"/>
      <c r="FH428" s="22"/>
      <c r="FI428" s="22"/>
      <c r="FJ428" s="22"/>
      <c r="FK428" s="22"/>
      <c r="FL428" s="22"/>
      <c r="FM428" s="22"/>
      <c r="FN428" s="22"/>
      <c r="FO428" s="22"/>
      <c r="FP428" s="22"/>
      <c r="FQ428" s="22"/>
      <c r="FR428" s="22"/>
      <c r="FS428" s="22"/>
      <c r="FT428" s="22"/>
      <c r="FU428" s="22"/>
      <c r="FV428" s="22"/>
      <c r="FW428" s="22"/>
      <c r="FX428" s="22"/>
      <c r="FY428" s="22"/>
      <c r="FZ428" s="22"/>
      <c r="GA428" s="22"/>
      <c r="GB428" s="22"/>
      <c r="GC428" s="22"/>
      <c r="GD428" s="22"/>
      <c r="GE428" s="22"/>
      <c r="GF428" s="22"/>
      <c r="GG428" s="22"/>
      <c r="GH428" s="22"/>
      <c r="GI428" s="22"/>
      <c r="GJ428" s="22"/>
      <c r="GK428" s="22"/>
      <c r="GL428" s="22"/>
    </row>
    <row r="429" spans="1:194" s="21" customFormat="1" x14ac:dyDescent="0.25">
      <c r="A429" s="24"/>
      <c r="B429" s="25">
        <f t="shared" si="55"/>
        <v>0</v>
      </c>
      <c r="C429" s="25">
        <f t="shared" si="55"/>
        <v>0</v>
      </c>
      <c r="D429" s="25">
        <f t="shared" si="55"/>
        <v>0</v>
      </c>
      <c r="E429" s="25"/>
      <c r="F429" s="25"/>
      <c r="G429" s="25">
        <f t="shared" si="56"/>
        <v>0</v>
      </c>
      <c r="H429" s="25"/>
      <c r="I429" s="25"/>
      <c r="J429" s="25">
        <f t="shared" si="57"/>
        <v>0</v>
      </c>
      <c r="K429" s="25"/>
      <c r="L429" s="25"/>
      <c r="M429" s="25">
        <f t="shared" si="58"/>
        <v>0</v>
      </c>
      <c r="N429" s="25"/>
      <c r="O429" s="25"/>
      <c r="P429" s="25">
        <f t="shared" si="59"/>
        <v>0</v>
      </c>
      <c r="Q429" s="25"/>
      <c r="R429" s="25"/>
      <c r="S429" s="25">
        <f t="shared" si="60"/>
        <v>0</v>
      </c>
      <c r="T429" s="25"/>
      <c r="U429" s="25"/>
      <c r="V429" s="25">
        <f t="shared" si="61"/>
        <v>0</v>
      </c>
      <c r="W429" s="25"/>
      <c r="X429" s="25"/>
      <c r="Y429" s="25">
        <f t="shared" si="62"/>
        <v>0</v>
      </c>
      <c r="Z429" s="25"/>
      <c r="AA429" s="25"/>
      <c r="AB429" s="25">
        <f t="shared" si="63"/>
        <v>0</v>
      </c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  <c r="BU429" s="22"/>
      <c r="BV429" s="22"/>
      <c r="BW429" s="22"/>
      <c r="BX429" s="22"/>
      <c r="BY429" s="22"/>
      <c r="BZ429" s="22"/>
      <c r="CA429" s="22"/>
      <c r="CB429" s="22"/>
      <c r="CC429" s="22"/>
      <c r="CD429" s="22"/>
      <c r="CE429" s="22"/>
      <c r="CF429" s="22"/>
      <c r="CG429" s="22"/>
      <c r="CH429" s="22"/>
      <c r="CI429" s="22"/>
      <c r="CJ429" s="22"/>
      <c r="CK429" s="22"/>
      <c r="CL429" s="22"/>
      <c r="CM429" s="22"/>
      <c r="CN429" s="22"/>
      <c r="CO429" s="22"/>
      <c r="CP429" s="22"/>
      <c r="CQ429" s="22"/>
      <c r="CR429" s="22"/>
      <c r="CS429" s="22"/>
      <c r="CT429" s="22"/>
      <c r="CU429" s="22"/>
      <c r="CV429" s="22"/>
      <c r="CW429" s="22"/>
      <c r="CX429" s="22"/>
      <c r="CY429" s="22"/>
      <c r="CZ429" s="22"/>
      <c r="DA429" s="22"/>
      <c r="DB429" s="22"/>
      <c r="DC429" s="22"/>
      <c r="DD429" s="22"/>
      <c r="DE429" s="22"/>
      <c r="DF429" s="22"/>
      <c r="DG429" s="22"/>
      <c r="DH429" s="22"/>
      <c r="DI429" s="22"/>
      <c r="DJ429" s="22"/>
      <c r="DK429" s="22"/>
      <c r="DL429" s="22"/>
      <c r="DM429" s="22"/>
      <c r="DN429" s="22"/>
      <c r="DO429" s="22"/>
      <c r="DP429" s="22"/>
      <c r="DQ429" s="22"/>
      <c r="DR429" s="22"/>
      <c r="DS429" s="22"/>
      <c r="DT429" s="22"/>
      <c r="DU429" s="22"/>
      <c r="DV429" s="22"/>
      <c r="DW429" s="22"/>
      <c r="DX429" s="22"/>
      <c r="DY429" s="22"/>
      <c r="DZ429" s="22"/>
      <c r="EA429" s="22"/>
      <c r="EB429" s="22"/>
      <c r="EC429" s="22"/>
      <c r="ED429" s="22"/>
      <c r="EE429" s="22"/>
      <c r="EF429" s="22"/>
      <c r="EG429" s="22"/>
      <c r="EH429" s="22"/>
      <c r="EI429" s="22"/>
      <c r="EJ429" s="22"/>
      <c r="EK429" s="22"/>
      <c r="EL429" s="22"/>
      <c r="EM429" s="22"/>
      <c r="EN429" s="22"/>
      <c r="EO429" s="22"/>
      <c r="EP429" s="22"/>
      <c r="EQ429" s="22"/>
      <c r="ER429" s="22"/>
      <c r="ES429" s="22"/>
      <c r="ET429" s="22"/>
      <c r="EU429" s="22"/>
      <c r="EV429" s="22"/>
      <c r="EW429" s="22"/>
      <c r="EX429" s="22"/>
      <c r="EY429" s="22"/>
      <c r="EZ429" s="22"/>
      <c r="FA429" s="22"/>
      <c r="FB429" s="22"/>
      <c r="FC429" s="22"/>
      <c r="FD429" s="22"/>
      <c r="FE429" s="22"/>
      <c r="FF429" s="22"/>
      <c r="FG429" s="22"/>
      <c r="FH429" s="22"/>
      <c r="FI429" s="22"/>
      <c r="FJ429" s="22"/>
      <c r="FK429" s="22"/>
      <c r="FL429" s="22"/>
      <c r="FM429" s="22"/>
      <c r="FN429" s="22"/>
      <c r="FO429" s="22"/>
      <c r="FP429" s="22"/>
      <c r="FQ429" s="22"/>
      <c r="FR429" s="22"/>
      <c r="FS429" s="22"/>
      <c r="FT429" s="22"/>
      <c r="FU429" s="22"/>
      <c r="FV429" s="22"/>
      <c r="FW429" s="22"/>
      <c r="FX429" s="22"/>
      <c r="FY429" s="22"/>
      <c r="FZ429" s="22"/>
      <c r="GA429" s="22"/>
      <c r="GB429" s="22"/>
      <c r="GC429" s="22"/>
      <c r="GD429" s="22"/>
      <c r="GE429" s="22"/>
      <c r="GF429" s="22"/>
      <c r="GG429" s="22"/>
      <c r="GH429" s="22"/>
      <c r="GI429" s="22"/>
      <c r="GJ429" s="22"/>
      <c r="GK429" s="22"/>
      <c r="GL429" s="22"/>
    </row>
    <row r="430" spans="1:194" s="22" customFormat="1" x14ac:dyDescent="0.25">
      <c r="A430" s="26" t="s">
        <v>37</v>
      </c>
      <c r="B430" s="20">
        <f t="shared" si="55"/>
        <v>0</v>
      </c>
      <c r="C430" s="20">
        <f t="shared" si="55"/>
        <v>0</v>
      </c>
      <c r="D430" s="20">
        <f t="shared" si="55"/>
        <v>0</v>
      </c>
      <c r="E430" s="20">
        <f>E431</f>
        <v>0</v>
      </c>
      <c r="F430" s="20">
        <f>F431</f>
        <v>0</v>
      </c>
      <c r="G430" s="20">
        <f t="shared" si="56"/>
        <v>0</v>
      </c>
      <c r="H430" s="20">
        <f>H431</f>
        <v>0</v>
      </c>
      <c r="I430" s="20">
        <f>I431</f>
        <v>0</v>
      </c>
      <c r="J430" s="20">
        <f t="shared" si="57"/>
        <v>0</v>
      </c>
      <c r="K430" s="20">
        <f>K431</f>
        <v>0</v>
      </c>
      <c r="L430" s="20">
        <f>L431</f>
        <v>0</v>
      </c>
      <c r="M430" s="20">
        <f t="shared" si="58"/>
        <v>0</v>
      </c>
      <c r="N430" s="20">
        <f>N431</f>
        <v>0</v>
      </c>
      <c r="O430" s="20">
        <f>O431</f>
        <v>0</v>
      </c>
      <c r="P430" s="20">
        <f t="shared" si="59"/>
        <v>0</v>
      </c>
      <c r="Q430" s="20">
        <f>Q431</f>
        <v>0</v>
      </c>
      <c r="R430" s="20">
        <f>R431</f>
        <v>0</v>
      </c>
      <c r="S430" s="20">
        <f t="shared" si="60"/>
        <v>0</v>
      </c>
      <c r="T430" s="20">
        <f>T431</f>
        <v>0</v>
      </c>
      <c r="U430" s="20">
        <f>U431</f>
        <v>0</v>
      </c>
      <c r="V430" s="20">
        <f t="shared" si="61"/>
        <v>0</v>
      </c>
      <c r="W430" s="20">
        <f>W431</f>
        <v>0</v>
      </c>
      <c r="X430" s="20">
        <f>X431</f>
        <v>0</v>
      </c>
      <c r="Y430" s="20">
        <f t="shared" si="62"/>
        <v>0</v>
      </c>
      <c r="Z430" s="20">
        <f>Z431</f>
        <v>0</v>
      </c>
      <c r="AA430" s="20">
        <f>AA431</f>
        <v>0</v>
      </c>
      <c r="AB430" s="20">
        <f t="shared" si="63"/>
        <v>0</v>
      </c>
    </row>
    <row r="431" spans="1:194" s="22" customFormat="1" ht="31.5" x14ac:dyDescent="0.25">
      <c r="A431" s="19" t="s">
        <v>345</v>
      </c>
      <c r="B431" s="20">
        <f t="shared" si="55"/>
        <v>0</v>
      </c>
      <c r="C431" s="20">
        <f t="shared" si="55"/>
        <v>0</v>
      </c>
      <c r="D431" s="20">
        <f t="shared" si="55"/>
        <v>0</v>
      </c>
      <c r="E431" s="20">
        <f>SUM(E432:E432)</f>
        <v>0</v>
      </c>
      <c r="F431" s="20">
        <f>SUM(F432:F432)</f>
        <v>0</v>
      </c>
      <c r="G431" s="20">
        <f t="shared" si="56"/>
        <v>0</v>
      </c>
      <c r="H431" s="20">
        <f>SUM(H432:H432)</f>
        <v>0</v>
      </c>
      <c r="I431" s="20">
        <f>SUM(I432:I432)</f>
        <v>0</v>
      </c>
      <c r="J431" s="20">
        <f t="shared" si="57"/>
        <v>0</v>
      </c>
      <c r="K431" s="20">
        <f>SUM(K432:K432)</f>
        <v>0</v>
      </c>
      <c r="L431" s="20">
        <f>SUM(L432:L432)</f>
        <v>0</v>
      </c>
      <c r="M431" s="20">
        <f t="shared" si="58"/>
        <v>0</v>
      </c>
      <c r="N431" s="20">
        <f>SUM(N432:N432)</f>
        <v>0</v>
      </c>
      <c r="O431" s="20">
        <f>SUM(O432:O432)</f>
        <v>0</v>
      </c>
      <c r="P431" s="20">
        <f t="shared" si="59"/>
        <v>0</v>
      </c>
      <c r="Q431" s="20">
        <f>SUM(Q432:Q432)</f>
        <v>0</v>
      </c>
      <c r="R431" s="20">
        <f>SUM(R432:R432)</f>
        <v>0</v>
      </c>
      <c r="S431" s="20">
        <f t="shared" si="60"/>
        <v>0</v>
      </c>
      <c r="T431" s="20">
        <f>SUM(T432:T432)</f>
        <v>0</v>
      </c>
      <c r="U431" s="20">
        <f>SUM(U432:U432)</f>
        <v>0</v>
      </c>
      <c r="V431" s="20">
        <f t="shared" si="61"/>
        <v>0</v>
      </c>
      <c r="W431" s="20">
        <f>SUM(W432:W432)</f>
        <v>0</v>
      </c>
      <c r="X431" s="20">
        <f>SUM(X432:X432)</f>
        <v>0</v>
      </c>
      <c r="Y431" s="20">
        <f t="shared" si="62"/>
        <v>0</v>
      </c>
      <c r="Z431" s="20">
        <f>SUM(Z432:Z432)</f>
        <v>0</v>
      </c>
      <c r="AA431" s="20">
        <f>SUM(AA432:AA432)</f>
        <v>0</v>
      </c>
      <c r="AB431" s="20">
        <f t="shared" si="63"/>
        <v>0</v>
      </c>
    </row>
    <row r="432" spans="1:194" s="22" customFormat="1" x14ac:dyDescent="0.25">
      <c r="A432" s="30"/>
      <c r="B432" s="28">
        <f t="shared" si="55"/>
        <v>0</v>
      </c>
      <c r="C432" s="28">
        <f t="shared" si="55"/>
        <v>0</v>
      </c>
      <c r="D432" s="28">
        <f t="shared" si="55"/>
        <v>0</v>
      </c>
      <c r="E432" s="28"/>
      <c r="F432" s="28"/>
      <c r="G432" s="28">
        <f t="shared" si="56"/>
        <v>0</v>
      </c>
      <c r="H432" s="28"/>
      <c r="I432" s="28"/>
      <c r="J432" s="28">
        <f t="shared" si="57"/>
        <v>0</v>
      </c>
      <c r="K432" s="28"/>
      <c r="L432" s="28"/>
      <c r="M432" s="28">
        <f t="shared" si="58"/>
        <v>0</v>
      </c>
      <c r="N432" s="28"/>
      <c r="O432" s="28"/>
      <c r="P432" s="28">
        <f t="shared" si="59"/>
        <v>0</v>
      </c>
      <c r="Q432" s="28"/>
      <c r="R432" s="28"/>
      <c r="S432" s="28">
        <f t="shared" si="60"/>
        <v>0</v>
      </c>
      <c r="T432" s="28"/>
      <c r="U432" s="28"/>
      <c r="V432" s="28">
        <f t="shared" si="61"/>
        <v>0</v>
      </c>
      <c r="W432" s="28"/>
      <c r="X432" s="28"/>
      <c r="Y432" s="28">
        <f t="shared" si="62"/>
        <v>0</v>
      </c>
      <c r="Z432" s="28"/>
      <c r="AA432" s="28"/>
      <c r="AB432" s="28">
        <f t="shared" si="63"/>
        <v>0</v>
      </c>
    </row>
    <row r="433" spans="1:194" s="21" customFormat="1" x14ac:dyDescent="0.25">
      <c r="A433" s="19" t="s">
        <v>57</v>
      </c>
      <c r="B433" s="20">
        <f t="shared" ref="B433:D463" si="64">E433+H433+K433+N433+Q433+T433+W433+Z433</f>
        <v>5000</v>
      </c>
      <c r="C433" s="20">
        <f t="shared" si="64"/>
        <v>13429</v>
      </c>
      <c r="D433" s="20">
        <f t="shared" si="64"/>
        <v>8429</v>
      </c>
      <c r="E433" s="20">
        <f>SUM(E434,E437)</f>
        <v>0</v>
      </c>
      <c r="F433" s="20">
        <f>SUM(F434,F437)</f>
        <v>0</v>
      </c>
      <c r="G433" s="20">
        <f t="shared" ref="G433:G463" si="65">F433-E433</f>
        <v>0</v>
      </c>
      <c r="H433" s="20">
        <f>SUM(H434,H437)</f>
        <v>0</v>
      </c>
      <c r="I433" s="20">
        <f>SUM(I434,I437)</f>
        <v>0</v>
      </c>
      <c r="J433" s="20">
        <f t="shared" ref="J433:J463" si="66">I433-H433</f>
        <v>0</v>
      </c>
      <c r="K433" s="20">
        <f>SUM(K434,K437)</f>
        <v>0</v>
      </c>
      <c r="L433" s="20">
        <f>SUM(L434,L437)</f>
        <v>8429</v>
      </c>
      <c r="M433" s="20">
        <f t="shared" ref="M433:M463" si="67">L433-K433</f>
        <v>8429</v>
      </c>
      <c r="N433" s="20">
        <f>SUM(N434,N437)</f>
        <v>5000</v>
      </c>
      <c r="O433" s="20">
        <f>SUM(O434,O437)</f>
        <v>5000</v>
      </c>
      <c r="P433" s="20">
        <f t="shared" ref="P433:P463" si="68">O433-N433</f>
        <v>0</v>
      </c>
      <c r="Q433" s="20">
        <f>SUM(Q434,Q437)</f>
        <v>0</v>
      </c>
      <c r="R433" s="20">
        <f>SUM(R434,R437)</f>
        <v>0</v>
      </c>
      <c r="S433" s="20">
        <f t="shared" ref="S433:S463" si="69">R433-Q433</f>
        <v>0</v>
      </c>
      <c r="T433" s="20">
        <f>SUM(T434,T437)</f>
        <v>0</v>
      </c>
      <c r="U433" s="20">
        <f>SUM(U434,U437)</f>
        <v>0</v>
      </c>
      <c r="V433" s="20">
        <f t="shared" ref="V433:V463" si="70">U433-T433</f>
        <v>0</v>
      </c>
      <c r="W433" s="20">
        <f>SUM(W434,W437)</f>
        <v>0</v>
      </c>
      <c r="X433" s="20">
        <f>SUM(X434,X437)</f>
        <v>0</v>
      </c>
      <c r="Y433" s="20">
        <f t="shared" ref="Y433:Y463" si="71">X433-W433</f>
        <v>0</v>
      </c>
      <c r="Z433" s="20">
        <f>SUM(Z434,Z437)</f>
        <v>0</v>
      </c>
      <c r="AA433" s="20">
        <f>SUM(AA434,AA437)</f>
        <v>0</v>
      </c>
      <c r="AB433" s="20">
        <f t="shared" ref="AB433:AB463" si="72">AA433-Z433</f>
        <v>0</v>
      </c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  <c r="BY433" s="22"/>
      <c r="BZ433" s="22"/>
      <c r="CA433" s="22"/>
      <c r="CB433" s="22"/>
      <c r="CC433" s="22"/>
      <c r="CD433" s="22"/>
      <c r="CE433" s="22"/>
      <c r="CF433" s="22"/>
      <c r="CG433" s="22"/>
      <c r="CH433" s="22"/>
      <c r="CI433" s="22"/>
      <c r="CJ433" s="22"/>
      <c r="CK433" s="22"/>
      <c r="CL433" s="22"/>
      <c r="CM433" s="22"/>
      <c r="CN433" s="22"/>
      <c r="CO433" s="22"/>
      <c r="CP433" s="22"/>
      <c r="CQ433" s="22"/>
      <c r="CR433" s="22"/>
      <c r="CS433" s="22"/>
      <c r="CT433" s="22"/>
      <c r="CU433" s="22"/>
      <c r="CV433" s="22"/>
      <c r="CW433" s="22"/>
      <c r="CX433" s="22"/>
      <c r="CY433" s="22"/>
      <c r="CZ433" s="22"/>
      <c r="DA433" s="22"/>
      <c r="DB433" s="22"/>
      <c r="DC433" s="22"/>
      <c r="DD433" s="22"/>
      <c r="DE433" s="22"/>
      <c r="DF433" s="22"/>
      <c r="DG433" s="22"/>
      <c r="DH433" s="22"/>
      <c r="DI433" s="22"/>
      <c r="DJ433" s="22"/>
      <c r="DK433" s="22"/>
      <c r="DL433" s="22"/>
      <c r="DM433" s="22"/>
      <c r="DN433" s="22"/>
      <c r="DO433" s="22"/>
      <c r="DP433" s="22"/>
      <c r="DQ433" s="22"/>
      <c r="DR433" s="22"/>
      <c r="DS433" s="22"/>
      <c r="DT433" s="22"/>
      <c r="DU433" s="22"/>
      <c r="DV433" s="22"/>
      <c r="DW433" s="22"/>
      <c r="DX433" s="22"/>
      <c r="DY433" s="22"/>
      <c r="DZ433" s="22"/>
      <c r="EA433" s="22"/>
      <c r="EB433" s="22"/>
      <c r="EC433" s="22"/>
      <c r="ED433" s="22"/>
      <c r="EE433" s="22"/>
      <c r="EF433" s="22"/>
      <c r="EG433" s="22"/>
      <c r="EH433" s="22"/>
      <c r="EI433" s="22"/>
      <c r="EJ433" s="22"/>
      <c r="EK433" s="22"/>
      <c r="EL433" s="22"/>
      <c r="EM433" s="22"/>
      <c r="EN433" s="22"/>
      <c r="EO433" s="22"/>
      <c r="EP433" s="22"/>
      <c r="EQ433" s="22"/>
      <c r="ER433" s="22"/>
      <c r="ES433" s="22"/>
      <c r="ET433" s="22"/>
      <c r="EU433" s="22"/>
      <c r="EV433" s="22"/>
      <c r="EW433" s="22"/>
      <c r="EX433" s="22"/>
      <c r="EY433" s="22"/>
      <c r="EZ433" s="22"/>
      <c r="FA433" s="22"/>
      <c r="FB433" s="22"/>
      <c r="FC433" s="22"/>
      <c r="FD433" s="22"/>
      <c r="FE433" s="22"/>
      <c r="FF433" s="22"/>
      <c r="FG433" s="22"/>
      <c r="FH433" s="22"/>
      <c r="FI433" s="22"/>
      <c r="FJ433" s="22"/>
      <c r="FK433" s="22"/>
      <c r="FL433" s="22"/>
      <c r="FM433" s="22"/>
      <c r="FN433" s="22"/>
      <c r="FO433" s="22"/>
      <c r="FP433" s="22"/>
      <c r="FQ433" s="22"/>
      <c r="FR433" s="22"/>
      <c r="FS433" s="22"/>
      <c r="FT433" s="22"/>
      <c r="FU433" s="22"/>
      <c r="FV433" s="22"/>
      <c r="FW433" s="22"/>
      <c r="FX433" s="22"/>
      <c r="FY433" s="22"/>
      <c r="FZ433" s="22"/>
      <c r="GA433" s="22"/>
      <c r="GB433" s="22"/>
      <c r="GC433" s="22"/>
      <c r="GD433" s="22"/>
      <c r="GE433" s="22"/>
      <c r="GF433" s="22"/>
      <c r="GG433" s="22"/>
      <c r="GH433" s="22"/>
      <c r="GI433" s="22"/>
      <c r="GJ433" s="22"/>
      <c r="GK433" s="22"/>
      <c r="GL433" s="22"/>
    </row>
    <row r="434" spans="1:194" s="22" customFormat="1" ht="31.5" x14ac:dyDescent="0.25">
      <c r="A434" s="19" t="s">
        <v>345</v>
      </c>
      <c r="B434" s="20">
        <f>E434+H434+K434+N434+Q434+T434+W434+Z434</f>
        <v>5000</v>
      </c>
      <c r="C434" s="20">
        <f>F434+I434+L434+O434+R434+U434+X434+AA434</f>
        <v>13429</v>
      </c>
      <c r="D434" s="20">
        <f>G434+J434+M434+P434+S434+V434+Y434+AB434</f>
        <v>8429</v>
      </c>
      <c r="E434" s="20">
        <f>SUM(E435:E436)</f>
        <v>0</v>
      </c>
      <c r="F434" s="20">
        <f>SUM(F435:F436)</f>
        <v>0</v>
      </c>
      <c r="G434" s="20">
        <f t="shared" si="65"/>
        <v>0</v>
      </c>
      <c r="H434" s="20">
        <f>SUM(H435:H436)</f>
        <v>0</v>
      </c>
      <c r="I434" s="20">
        <f>SUM(I435:I436)</f>
        <v>0</v>
      </c>
      <c r="J434" s="20">
        <f t="shared" si="66"/>
        <v>0</v>
      </c>
      <c r="K434" s="20">
        <f>SUM(K435:K436)</f>
        <v>0</v>
      </c>
      <c r="L434" s="43">
        <f>SUM(L435:L436)</f>
        <v>8429</v>
      </c>
      <c r="M434" s="20">
        <f t="shared" si="67"/>
        <v>8429</v>
      </c>
      <c r="N434" s="20">
        <f>SUM(N435:N436)</f>
        <v>5000</v>
      </c>
      <c r="O434" s="20">
        <f>SUM(O435:O436)</f>
        <v>5000</v>
      </c>
      <c r="P434" s="20">
        <f t="shared" si="68"/>
        <v>0</v>
      </c>
      <c r="Q434" s="20">
        <f>SUM(Q435:Q436)</f>
        <v>0</v>
      </c>
      <c r="R434" s="20">
        <f>SUM(R435:R436)</f>
        <v>0</v>
      </c>
      <c r="S434" s="20">
        <f t="shared" si="69"/>
        <v>0</v>
      </c>
      <c r="T434" s="20">
        <f>SUM(T435:T436)</f>
        <v>0</v>
      </c>
      <c r="U434" s="20">
        <f>SUM(U435:U436)</f>
        <v>0</v>
      </c>
      <c r="V434" s="20">
        <f t="shared" si="70"/>
        <v>0</v>
      </c>
      <c r="W434" s="20">
        <f>SUM(W435:W436)</f>
        <v>0</v>
      </c>
      <c r="X434" s="20">
        <f>SUM(X435:X436)</f>
        <v>0</v>
      </c>
      <c r="Y434" s="20">
        <f t="shared" si="71"/>
        <v>0</v>
      </c>
      <c r="Z434" s="20">
        <f>SUM(Z435:Z436)</f>
        <v>0</v>
      </c>
      <c r="AA434" s="20">
        <f>SUM(AA435:AA436)</f>
        <v>0</v>
      </c>
      <c r="AB434" s="20">
        <f t="shared" si="72"/>
        <v>0</v>
      </c>
    </row>
    <row r="435" spans="1:194" s="41" customFormat="1" ht="22.5" customHeight="1" x14ac:dyDescent="0.25">
      <c r="A435" s="66" t="s">
        <v>353</v>
      </c>
      <c r="B435" s="62">
        <f t="shared" ref="B435:D435" si="73">E435+H435+K435+N435+Q435+T435+W435+Z435</f>
        <v>0</v>
      </c>
      <c r="C435" s="62">
        <f t="shared" si="73"/>
        <v>8429</v>
      </c>
      <c r="D435" s="62">
        <f t="shared" si="73"/>
        <v>8429</v>
      </c>
      <c r="E435" s="62"/>
      <c r="F435" s="62"/>
      <c r="G435" s="62">
        <f t="shared" si="65"/>
        <v>0</v>
      </c>
      <c r="H435" s="62"/>
      <c r="I435" s="62"/>
      <c r="J435" s="62">
        <f t="shared" si="66"/>
        <v>0</v>
      </c>
      <c r="K435" s="62">
        <f>0</f>
        <v>0</v>
      </c>
      <c r="L435" s="62">
        <f>8429</f>
        <v>8429</v>
      </c>
      <c r="M435" s="62">
        <f t="shared" si="67"/>
        <v>8429</v>
      </c>
      <c r="N435" s="62"/>
      <c r="O435" s="62"/>
      <c r="P435" s="62">
        <f t="shared" si="68"/>
        <v>0</v>
      </c>
      <c r="Q435" s="62"/>
      <c r="R435" s="62"/>
      <c r="S435" s="62">
        <f t="shared" si="69"/>
        <v>0</v>
      </c>
      <c r="T435" s="62"/>
      <c r="U435" s="62"/>
      <c r="V435" s="62">
        <f t="shared" si="70"/>
        <v>0</v>
      </c>
      <c r="W435" s="62"/>
      <c r="X435" s="62"/>
      <c r="Y435" s="62">
        <f t="shared" si="71"/>
        <v>0</v>
      </c>
      <c r="Z435" s="62"/>
      <c r="AA435" s="62"/>
      <c r="AB435" s="62">
        <f t="shared" si="72"/>
        <v>0</v>
      </c>
    </row>
    <row r="436" spans="1:194" s="22" customFormat="1" x14ac:dyDescent="0.25">
      <c r="A436" s="30" t="s">
        <v>354</v>
      </c>
      <c r="B436" s="28">
        <f t="shared" si="64"/>
        <v>5000</v>
      </c>
      <c r="C436" s="28">
        <f t="shared" si="64"/>
        <v>5000</v>
      </c>
      <c r="D436" s="28">
        <f t="shared" si="64"/>
        <v>0</v>
      </c>
      <c r="E436" s="28"/>
      <c r="F436" s="28"/>
      <c r="G436" s="28">
        <f t="shared" si="65"/>
        <v>0</v>
      </c>
      <c r="H436" s="28"/>
      <c r="I436" s="28"/>
      <c r="J436" s="28">
        <f t="shared" si="66"/>
        <v>0</v>
      </c>
      <c r="K436" s="28"/>
      <c r="L436" s="28"/>
      <c r="M436" s="28">
        <f t="shared" si="67"/>
        <v>0</v>
      </c>
      <c r="N436" s="28">
        <v>5000</v>
      </c>
      <c r="O436" s="28">
        <v>5000</v>
      </c>
      <c r="P436" s="28">
        <f t="shared" si="68"/>
        <v>0</v>
      </c>
      <c r="Q436" s="28"/>
      <c r="R436" s="28"/>
      <c r="S436" s="28">
        <f t="shared" si="69"/>
        <v>0</v>
      </c>
      <c r="T436" s="28"/>
      <c r="U436" s="28"/>
      <c r="V436" s="28">
        <f t="shared" si="70"/>
        <v>0</v>
      </c>
      <c r="W436" s="28"/>
      <c r="X436" s="28"/>
      <c r="Y436" s="28">
        <f t="shared" si="71"/>
        <v>0</v>
      </c>
      <c r="Z436" s="28"/>
      <c r="AA436" s="28"/>
      <c r="AB436" s="28">
        <f t="shared" si="72"/>
        <v>0</v>
      </c>
    </row>
    <row r="437" spans="1:194" s="21" customFormat="1" x14ac:dyDescent="0.25">
      <c r="A437" s="19" t="s">
        <v>352</v>
      </c>
      <c r="B437" s="20">
        <f t="shared" si="64"/>
        <v>0</v>
      </c>
      <c r="C437" s="20">
        <f t="shared" si="64"/>
        <v>0</v>
      </c>
      <c r="D437" s="20">
        <f t="shared" si="64"/>
        <v>0</v>
      </c>
      <c r="E437" s="20">
        <f>SUM(E438)</f>
        <v>0</v>
      </c>
      <c r="F437" s="20">
        <f>SUM(F438)</f>
        <v>0</v>
      </c>
      <c r="G437" s="20">
        <f t="shared" si="65"/>
        <v>0</v>
      </c>
      <c r="H437" s="20">
        <f>SUM(H438)</f>
        <v>0</v>
      </c>
      <c r="I437" s="20">
        <f>SUM(I438)</f>
        <v>0</v>
      </c>
      <c r="J437" s="20">
        <f t="shared" si="66"/>
        <v>0</v>
      </c>
      <c r="K437" s="20">
        <f>SUM(K438)</f>
        <v>0</v>
      </c>
      <c r="L437" s="20">
        <f>SUM(L438)</f>
        <v>0</v>
      </c>
      <c r="M437" s="20">
        <f t="shared" si="67"/>
        <v>0</v>
      </c>
      <c r="N437" s="20">
        <f>SUM(N438)</f>
        <v>0</v>
      </c>
      <c r="O437" s="20">
        <f>SUM(O438)</f>
        <v>0</v>
      </c>
      <c r="P437" s="20">
        <f t="shared" si="68"/>
        <v>0</v>
      </c>
      <c r="Q437" s="20">
        <f>SUM(Q438)</f>
        <v>0</v>
      </c>
      <c r="R437" s="20">
        <f>SUM(R438)</f>
        <v>0</v>
      </c>
      <c r="S437" s="20">
        <f t="shared" si="69"/>
        <v>0</v>
      </c>
      <c r="T437" s="20">
        <f>SUM(T438)</f>
        <v>0</v>
      </c>
      <c r="U437" s="20">
        <f>SUM(U438)</f>
        <v>0</v>
      </c>
      <c r="V437" s="20">
        <f t="shared" si="70"/>
        <v>0</v>
      </c>
      <c r="W437" s="20">
        <f>SUM(W438)</f>
        <v>0</v>
      </c>
      <c r="X437" s="20">
        <f>SUM(X438)</f>
        <v>0</v>
      </c>
      <c r="Y437" s="20">
        <f t="shared" si="71"/>
        <v>0</v>
      </c>
      <c r="Z437" s="20">
        <f>SUM(Z438)</f>
        <v>0</v>
      </c>
      <c r="AA437" s="20">
        <f>SUM(AA438)</f>
        <v>0</v>
      </c>
      <c r="AB437" s="20">
        <f t="shared" si="72"/>
        <v>0</v>
      </c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/>
      <c r="BW437" s="22"/>
      <c r="BX437" s="22"/>
      <c r="BY437" s="22"/>
      <c r="BZ437" s="22"/>
      <c r="CA437" s="22"/>
      <c r="CB437" s="22"/>
      <c r="CC437" s="22"/>
      <c r="CD437" s="22"/>
      <c r="CE437" s="22"/>
      <c r="CF437" s="22"/>
      <c r="CG437" s="22"/>
      <c r="CH437" s="22"/>
      <c r="CI437" s="22"/>
      <c r="CJ437" s="22"/>
      <c r="CK437" s="22"/>
      <c r="CL437" s="22"/>
      <c r="CM437" s="22"/>
      <c r="CN437" s="22"/>
      <c r="CO437" s="22"/>
      <c r="CP437" s="22"/>
      <c r="CQ437" s="22"/>
      <c r="CR437" s="22"/>
      <c r="CS437" s="22"/>
      <c r="CT437" s="22"/>
      <c r="CU437" s="22"/>
      <c r="CV437" s="22"/>
      <c r="CW437" s="22"/>
      <c r="CX437" s="22"/>
      <c r="CY437" s="22"/>
      <c r="CZ437" s="22"/>
      <c r="DA437" s="22"/>
      <c r="DB437" s="22"/>
      <c r="DC437" s="22"/>
      <c r="DD437" s="22"/>
      <c r="DE437" s="22"/>
      <c r="DF437" s="22"/>
      <c r="DG437" s="22"/>
      <c r="DH437" s="22"/>
      <c r="DI437" s="22"/>
      <c r="DJ437" s="22"/>
      <c r="DK437" s="22"/>
      <c r="DL437" s="22"/>
      <c r="DM437" s="22"/>
      <c r="DN437" s="22"/>
      <c r="DO437" s="22"/>
      <c r="DP437" s="22"/>
      <c r="DQ437" s="22"/>
      <c r="DR437" s="22"/>
      <c r="DS437" s="22"/>
      <c r="DT437" s="22"/>
      <c r="DU437" s="22"/>
      <c r="DV437" s="22"/>
      <c r="DW437" s="22"/>
      <c r="DX437" s="22"/>
      <c r="DY437" s="22"/>
      <c r="DZ437" s="22"/>
      <c r="EA437" s="22"/>
      <c r="EB437" s="22"/>
      <c r="EC437" s="22"/>
      <c r="ED437" s="22"/>
      <c r="EE437" s="22"/>
      <c r="EF437" s="22"/>
      <c r="EG437" s="22"/>
      <c r="EH437" s="22"/>
      <c r="EI437" s="22"/>
      <c r="EJ437" s="22"/>
      <c r="EK437" s="22"/>
      <c r="EL437" s="22"/>
      <c r="EM437" s="22"/>
      <c r="EN437" s="22"/>
      <c r="EO437" s="22"/>
      <c r="EP437" s="22"/>
      <c r="EQ437" s="22"/>
      <c r="ER437" s="22"/>
      <c r="ES437" s="22"/>
      <c r="ET437" s="22"/>
      <c r="EU437" s="22"/>
      <c r="EV437" s="22"/>
      <c r="EW437" s="22"/>
      <c r="EX437" s="22"/>
      <c r="EY437" s="22"/>
      <c r="EZ437" s="22"/>
      <c r="FA437" s="22"/>
      <c r="FB437" s="22"/>
      <c r="FC437" s="22"/>
      <c r="FD437" s="22"/>
      <c r="FE437" s="22"/>
      <c r="FF437" s="22"/>
      <c r="FG437" s="22"/>
      <c r="FH437" s="22"/>
      <c r="FI437" s="22"/>
      <c r="FJ437" s="22"/>
      <c r="FK437" s="22"/>
      <c r="FL437" s="22"/>
      <c r="FM437" s="22"/>
      <c r="FN437" s="22"/>
      <c r="FO437" s="22"/>
      <c r="FP437" s="22"/>
      <c r="FQ437" s="22"/>
      <c r="FR437" s="22"/>
      <c r="FS437" s="22"/>
      <c r="FT437" s="22"/>
      <c r="FU437" s="22"/>
      <c r="FV437" s="22"/>
      <c r="FW437" s="22"/>
      <c r="FX437" s="22"/>
      <c r="FY437" s="22"/>
      <c r="FZ437" s="22"/>
      <c r="GA437" s="22"/>
      <c r="GB437" s="22"/>
      <c r="GC437" s="22"/>
      <c r="GD437" s="22"/>
      <c r="GE437" s="22"/>
      <c r="GF437" s="22"/>
      <c r="GG437" s="22"/>
      <c r="GH437" s="22"/>
      <c r="GI437" s="22"/>
      <c r="GJ437" s="22"/>
      <c r="GK437" s="22"/>
      <c r="GL437" s="22"/>
    </row>
    <row r="438" spans="1:194" s="21" customFormat="1" x14ac:dyDescent="0.25">
      <c r="A438" s="24"/>
      <c r="B438" s="25">
        <f t="shared" si="64"/>
        <v>0</v>
      </c>
      <c r="C438" s="25">
        <f t="shared" si="64"/>
        <v>0</v>
      </c>
      <c r="D438" s="25">
        <f t="shared" si="64"/>
        <v>0</v>
      </c>
      <c r="E438" s="25"/>
      <c r="F438" s="25"/>
      <c r="G438" s="25">
        <f t="shared" si="65"/>
        <v>0</v>
      </c>
      <c r="H438" s="25"/>
      <c r="I438" s="25"/>
      <c r="J438" s="25">
        <f t="shared" si="66"/>
        <v>0</v>
      </c>
      <c r="K438" s="25"/>
      <c r="L438" s="25"/>
      <c r="M438" s="25">
        <f t="shared" si="67"/>
        <v>0</v>
      </c>
      <c r="N438" s="25"/>
      <c r="O438" s="25"/>
      <c r="P438" s="25">
        <f t="shared" si="68"/>
        <v>0</v>
      </c>
      <c r="Q438" s="25"/>
      <c r="R438" s="25"/>
      <c r="S438" s="25">
        <f t="shared" si="69"/>
        <v>0</v>
      </c>
      <c r="T438" s="25"/>
      <c r="U438" s="25"/>
      <c r="V438" s="25">
        <f t="shared" si="70"/>
        <v>0</v>
      </c>
      <c r="W438" s="25"/>
      <c r="X438" s="25"/>
      <c r="Y438" s="25">
        <f t="shared" si="71"/>
        <v>0</v>
      </c>
      <c r="Z438" s="25"/>
      <c r="AA438" s="25"/>
      <c r="AB438" s="25">
        <f t="shared" si="72"/>
        <v>0</v>
      </c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/>
      <c r="BW438" s="22"/>
      <c r="BX438" s="22"/>
      <c r="BY438" s="22"/>
      <c r="BZ438" s="22"/>
      <c r="CA438" s="22"/>
      <c r="CB438" s="22"/>
      <c r="CC438" s="22"/>
      <c r="CD438" s="22"/>
      <c r="CE438" s="22"/>
      <c r="CF438" s="22"/>
      <c r="CG438" s="22"/>
      <c r="CH438" s="22"/>
      <c r="CI438" s="22"/>
      <c r="CJ438" s="22"/>
      <c r="CK438" s="22"/>
      <c r="CL438" s="22"/>
      <c r="CM438" s="22"/>
      <c r="CN438" s="22"/>
      <c r="CO438" s="22"/>
      <c r="CP438" s="22"/>
      <c r="CQ438" s="22"/>
      <c r="CR438" s="22"/>
      <c r="CS438" s="22"/>
      <c r="CT438" s="22"/>
      <c r="CU438" s="22"/>
      <c r="CV438" s="22"/>
      <c r="CW438" s="22"/>
      <c r="CX438" s="22"/>
      <c r="CY438" s="22"/>
      <c r="CZ438" s="22"/>
      <c r="DA438" s="22"/>
      <c r="DB438" s="22"/>
      <c r="DC438" s="22"/>
      <c r="DD438" s="22"/>
      <c r="DE438" s="22"/>
      <c r="DF438" s="22"/>
      <c r="DG438" s="22"/>
      <c r="DH438" s="22"/>
      <c r="DI438" s="22"/>
      <c r="DJ438" s="22"/>
      <c r="DK438" s="22"/>
      <c r="DL438" s="22"/>
      <c r="DM438" s="22"/>
      <c r="DN438" s="22"/>
      <c r="DO438" s="22"/>
      <c r="DP438" s="22"/>
      <c r="DQ438" s="22"/>
      <c r="DR438" s="22"/>
      <c r="DS438" s="22"/>
      <c r="DT438" s="22"/>
      <c r="DU438" s="22"/>
      <c r="DV438" s="22"/>
      <c r="DW438" s="22"/>
      <c r="DX438" s="22"/>
      <c r="DY438" s="22"/>
      <c r="DZ438" s="22"/>
      <c r="EA438" s="22"/>
      <c r="EB438" s="22"/>
      <c r="EC438" s="22"/>
      <c r="ED438" s="22"/>
      <c r="EE438" s="22"/>
      <c r="EF438" s="22"/>
      <c r="EG438" s="22"/>
      <c r="EH438" s="22"/>
      <c r="EI438" s="22"/>
      <c r="EJ438" s="22"/>
      <c r="EK438" s="22"/>
      <c r="EL438" s="22"/>
      <c r="EM438" s="22"/>
      <c r="EN438" s="22"/>
      <c r="EO438" s="22"/>
      <c r="EP438" s="22"/>
      <c r="EQ438" s="22"/>
      <c r="ER438" s="22"/>
      <c r="ES438" s="22"/>
      <c r="ET438" s="22"/>
      <c r="EU438" s="22"/>
      <c r="EV438" s="22"/>
      <c r="EW438" s="22"/>
      <c r="EX438" s="22"/>
      <c r="EY438" s="22"/>
      <c r="EZ438" s="22"/>
      <c r="FA438" s="22"/>
      <c r="FB438" s="22"/>
      <c r="FC438" s="22"/>
      <c r="FD438" s="22"/>
      <c r="FE438" s="22"/>
      <c r="FF438" s="22"/>
      <c r="FG438" s="22"/>
      <c r="FH438" s="22"/>
      <c r="FI438" s="22"/>
      <c r="FJ438" s="22"/>
      <c r="FK438" s="22"/>
      <c r="FL438" s="22"/>
      <c r="FM438" s="22"/>
      <c r="FN438" s="22"/>
      <c r="FO438" s="22"/>
      <c r="FP438" s="22"/>
      <c r="FQ438" s="22"/>
      <c r="FR438" s="22"/>
      <c r="FS438" s="22"/>
      <c r="FT438" s="22"/>
      <c r="FU438" s="22"/>
      <c r="FV438" s="22"/>
      <c r="FW438" s="22"/>
      <c r="FX438" s="22"/>
      <c r="FY438" s="22"/>
      <c r="FZ438" s="22"/>
      <c r="GA438" s="22"/>
      <c r="GB438" s="22"/>
      <c r="GC438" s="22"/>
      <c r="GD438" s="22"/>
      <c r="GE438" s="22"/>
      <c r="GF438" s="22"/>
      <c r="GG438" s="22"/>
      <c r="GH438" s="22"/>
      <c r="GI438" s="22"/>
      <c r="GJ438" s="22"/>
      <c r="GK438" s="22"/>
      <c r="GL438" s="22"/>
    </row>
    <row r="439" spans="1:194" s="22" customFormat="1" x14ac:dyDescent="0.25">
      <c r="A439" s="19" t="s">
        <v>68</v>
      </c>
      <c r="B439" s="20">
        <f t="shared" si="64"/>
        <v>15000</v>
      </c>
      <c r="C439" s="20">
        <f t="shared" si="64"/>
        <v>15000</v>
      </c>
      <c r="D439" s="20">
        <f t="shared" si="64"/>
        <v>0</v>
      </c>
      <c r="E439" s="20">
        <f>SUM(E440)</f>
        <v>0</v>
      </c>
      <c r="F439" s="20">
        <f>SUM(F440)</f>
        <v>0</v>
      </c>
      <c r="G439" s="20">
        <f t="shared" si="65"/>
        <v>0</v>
      </c>
      <c r="H439" s="20">
        <f>SUM(H440)</f>
        <v>0</v>
      </c>
      <c r="I439" s="20">
        <f>SUM(I440)</f>
        <v>0</v>
      </c>
      <c r="J439" s="20">
        <f t="shared" si="66"/>
        <v>0</v>
      </c>
      <c r="K439" s="20">
        <f>SUM(K440)</f>
        <v>0</v>
      </c>
      <c r="L439" s="20">
        <f>SUM(L440)</f>
        <v>0</v>
      </c>
      <c r="M439" s="20">
        <f t="shared" si="67"/>
        <v>0</v>
      </c>
      <c r="N439" s="20">
        <f>SUM(N440)</f>
        <v>0</v>
      </c>
      <c r="O439" s="20">
        <f>SUM(O440)</f>
        <v>0</v>
      </c>
      <c r="P439" s="20">
        <f t="shared" si="68"/>
        <v>0</v>
      </c>
      <c r="Q439" s="20">
        <f>SUM(Q440)</f>
        <v>0</v>
      </c>
      <c r="R439" s="20">
        <f>SUM(R440)</f>
        <v>0</v>
      </c>
      <c r="S439" s="20">
        <f t="shared" si="69"/>
        <v>0</v>
      </c>
      <c r="T439" s="20">
        <f>SUM(T440)</f>
        <v>0</v>
      </c>
      <c r="U439" s="20">
        <f>SUM(U440)</f>
        <v>0</v>
      </c>
      <c r="V439" s="20">
        <f t="shared" si="70"/>
        <v>0</v>
      </c>
      <c r="W439" s="20">
        <f>SUM(W440)</f>
        <v>0</v>
      </c>
      <c r="X439" s="20">
        <f>SUM(X440)</f>
        <v>0</v>
      </c>
      <c r="Y439" s="20">
        <f t="shared" si="71"/>
        <v>0</v>
      </c>
      <c r="Z439" s="20">
        <f>SUM(Z440)</f>
        <v>15000</v>
      </c>
      <c r="AA439" s="20">
        <f>SUM(AA440)</f>
        <v>15000</v>
      </c>
      <c r="AB439" s="20">
        <f t="shared" si="72"/>
        <v>0</v>
      </c>
    </row>
    <row r="440" spans="1:194" s="21" customFormat="1" ht="31.5" x14ac:dyDescent="0.25">
      <c r="A440" s="19" t="s">
        <v>345</v>
      </c>
      <c r="B440" s="20">
        <f t="shared" si="64"/>
        <v>15000</v>
      </c>
      <c r="C440" s="20">
        <f t="shared" si="64"/>
        <v>15000</v>
      </c>
      <c r="D440" s="20">
        <f t="shared" si="64"/>
        <v>0</v>
      </c>
      <c r="E440" s="20">
        <f>SUM(E441)</f>
        <v>0</v>
      </c>
      <c r="F440" s="20">
        <f>SUM(F441)</f>
        <v>0</v>
      </c>
      <c r="G440" s="20">
        <f t="shared" si="65"/>
        <v>0</v>
      </c>
      <c r="H440" s="20">
        <f>SUM(H441)</f>
        <v>0</v>
      </c>
      <c r="I440" s="20">
        <f>SUM(I441)</f>
        <v>0</v>
      </c>
      <c r="J440" s="20">
        <f t="shared" si="66"/>
        <v>0</v>
      </c>
      <c r="K440" s="20">
        <f>SUM(K441)</f>
        <v>0</v>
      </c>
      <c r="L440" s="20">
        <f>SUM(L441)</f>
        <v>0</v>
      </c>
      <c r="M440" s="20">
        <f t="shared" si="67"/>
        <v>0</v>
      </c>
      <c r="N440" s="20">
        <f>SUM(N441)</f>
        <v>0</v>
      </c>
      <c r="O440" s="20">
        <f>SUM(O441)</f>
        <v>0</v>
      </c>
      <c r="P440" s="20">
        <f t="shared" si="68"/>
        <v>0</v>
      </c>
      <c r="Q440" s="20">
        <f>SUM(Q441)</f>
        <v>0</v>
      </c>
      <c r="R440" s="20">
        <f>SUM(R441)</f>
        <v>0</v>
      </c>
      <c r="S440" s="20">
        <f t="shared" si="69"/>
        <v>0</v>
      </c>
      <c r="T440" s="20">
        <f>SUM(T441)</f>
        <v>0</v>
      </c>
      <c r="U440" s="20">
        <f>SUM(U441)</f>
        <v>0</v>
      </c>
      <c r="V440" s="20">
        <f t="shared" si="70"/>
        <v>0</v>
      </c>
      <c r="W440" s="20">
        <f>SUM(W441)</f>
        <v>0</v>
      </c>
      <c r="X440" s="20">
        <f>SUM(X441)</f>
        <v>0</v>
      </c>
      <c r="Y440" s="20">
        <f t="shared" si="71"/>
        <v>0</v>
      </c>
      <c r="Z440" s="20">
        <f>SUM(Z441)</f>
        <v>15000</v>
      </c>
      <c r="AA440" s="20">
        <f>SUM(AA441)</f>
        <v>15000</v>
      </c>
      <c r="AB440" s="20">
        <f t="shared" si="72"/>
        <v>0</v>
      </c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/>
      <c r="BY440" s="22"/>
      <c r="BZ440" s="22"/>
      <c r="CA440" s="22"/>
      <c r="CB440" s="22"/>
      <c r="CC440" s="22"/>
      <c r="CD440" s="22"/>
      <c r="CE440" s="22"/>
      <c r="CF440" s="22"/>
      <c r="CG440" s="22"/>
      <c r="CH440" s="22"/>
      <c r="CI440" s="22"/>
      <c r="CJ440" s="22"/>
      <c r="CK440" s="22"/>
      <c r="CL440" s="22"/>
      <c r="CM440" s="22"/>
      <c r="CN440" s="22"/>
      <c r="CO440" s="22"/>
      <c r="CP440" s="22"/>
      <c r="CQ440" s="22"/>
      <c r="CR440" s="22"/>
      <c r="CS440" s="22"/>
      <c r="CT440" s="22"/>
      <c r="CU440" s="22"/>
      <c r="CV440" s="22"/>
      <c r="CW440" s="22"/>
      <c r="CX440" s="22"/>
      <c r="CY440" s="22"/>
      <c r="CZ440" s="22"/>
      <c r="DA440" s="22"/>
      <c r="DB440" s="22"/>
      <c r="DC440" s="22"/>
      <c r="DD440" s="22"/>
      <c r="DE440" s="22"/>
      <c r="DF440" s="22"/>
      <c r="DG440" s="22"/>
      <c r="DH440" s="22"/>
      <c r="DI440" s="22"/>
      <c r="DJ440" s="22"/>
      <c r="DK440" s="22"/>
      <c r="DL440" s="22"/>
      <c r="DM440" s="22"/>
      <c r="DN440" s="22"/>
      <c r="DO440" s="22"/>
      <c r="DP440" s="22"/>
      <c r="DQ440" s="22"/>
      <c r="DR440" s="22"/>
      <c r="DS440" s="22"/>
      <c r="DT440" s="22"/>
      <c r="DU440" s="22"/>
      <c r="DV440" s="22"/>
      <c r="DW440" s="22"/>
      <c r="DX440" s="22"/>
      <c r="DY440" s="22"/>
      <c r="DZ440" s="22"/>
      <c r="EA440" s="22"/>
      <c r="EB440" s="22"/>
      <c r="EC440" s="22"/>
      <c r="ED440" s="22"/>
      <c r="EE440" s="22"/>
      <c r="EF440" s="22"/>
      <c r="EG440" s="22"/>
      <c r="EH440" s="22"/>
      <c r="EI440" s="22"/>
      <c r="EJ440" s="22"/>
      <c r="EK440" s="22"/>
      <c r="EL440" s="22"/>
      <c r="EM440" s="22"/>
      <c r="EN440" s="22"/>
      <c r="EO440" s="22"/>
      <c r="EP440" s="22"/>
      <c r="EQ440" s="22"/>
      <c r="ER440" s="22"/>
      <c r="ES440" s="22"/>
      <c r="ET440" s="22"/>
      <c r="EU440" s="22"/>
      <c r="EV440" s="22"/>
      <c r="EW440" s="22"/>
      <c r="EX440" s="22"/>
      <c r="EY440" s="22"/>
      <c r="EZ440" s="22"/>
      <c r="FA440" s="22"/>
      <c r="FB440" s="22"/>
      <c r="FC440" s="22"/>
      <c r="FD440" s="22"/>
      <c r="FE440" s="22"/>
      <c r="FF440" s="22"/>
      <c r="FG440" s="22"/>
      <c r="FH440" s="22"/>
      <c r="FI440" s="22"/>
      <c r="FJ440" s="22"/>
      <c r="FK440" s="22"/>
      <c r="FL440" s="22"/>
      <c r="FM440" s="22"/>
      <c r="FN440" s="22"/>
      <c r="FO440" s="22"/>
      <c r="FP440" s="22"/>
      <c r="FQ440" s="22"/>
      <c r="FR440" s="22"/>
      <c r="FS440" s="22"/>
      <c r="FT440" s="22"/>
      <c r="FU440" s="22"/>
      <c r="FV440" s="22"/>
      <c r="FW440" s="22"/>
      <c r="FX440" s="22"/>
      <c r="FY440" s="22"/>
      <c r="FZ440" s="22"/>
      <c r="GA440" s="22"/>
      <c r="GB440" s="22"/>
      <c r="GC440" s="22"/>
      <c r="GD440" s="22"/>
      <c r="GE440" s="22"/>
      <c r="GF440" s="22"/>
      <c r="GG440" s="22"/>
      <c r="GH440" s="22"/>
      <c r="GI440" s="22"/>
      <c r="GJ440" s="22"/>
      <c r="GK440" s="22"/>
      <c r="GL440" s="22"/>
    </row>
    <row r="441" spans="1:194" s="21" customFormat="1" x14ac:dyDescent="0.25">
      <c r="A441" s="24" t="s">
        <v>355</v>
      </c>
      <c r="B441" s="25">
        <f t="shared" si="64"/>
        <v>15000</v>
      </c>
      <c r="C441" s="25">
        <f t="shared" si="64"/>
        <v>15000</v>
      </c>
      <c r="D441" s="25">
        <f t="shared" si="64"/>
        <v>0</v>
      </c>
      <c r="E441" s="25"/>
      <c r="F441" s="25"/>
      <c r="G441" s="25">
        <f t="shared" si="65"/>
        <v>0</v>
      </c>
      <c r="H441" s="25"/>
      <c r="I441" s="25"/>
      <c r="J441" s="25">
        <f t="shared" si="66"/>
        <v>0</v>
      </c>
      <c r="K441" s="25"/>
      <c r="L441" s="25"/>
      <c r="M441" s="25">
        <f t="shared" si="67"/>
        <v>0</v>
      </c>
      <c r="N441" s="25"/>
      <c r="O441" s="25"/>
      <c r="P441" s="25">
        <f t="shared" si="68"/>
        <v>0</v>
      </c>
      <c r="Q441" s="25"/>
      <c r="R441" s="25"/>
      <c r="S441" s="25">
        <f t="shared" si="69"/>
        <v>0</v>
      </c>
      <c r="T441" s="25"/>
      <c r="U441" s="25"/>
      <c r="V441" s="25">
        <f t="shared" si="70"/>
        <v>0</v>
      </c>
      <c r="W441" s="25"/>
      <c r="X441" s="25"/>
      <c r="Y441" s="25">
        <f t="shared" si="71"/>
        <v>0</v>
      </c>
      <c r="Z441" s="25">
        <v>15000</v>
      </c>
      <c r="AA441" s="25">
        <v>15000</v>
      </c>
      <c r="AB441" s="25">
        <f t="shared" si="72"/>
        <v>0</v>
      </c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/>
      <c r="BW441" s="22"/>
      <c r="BX441" s="22"/>
      <c r="BY441" s="22"/>
      <c r="BZ441" s="22"/>
      <c r="CA441" s="22"/>
      <c r="CB441" s="22"/>
      <c r="CC441" s="22"/>
      <c r="CD441" s="22"/>
      <c r="CE441" s="22"/>
      <c r="CF441" s="22"/>
      <c r="CG441" s="22"/>
      <c r="CH441" s="22"/>
      <c r="CI441" s="22"/>
      <c r="CJ441" s="22"/>
      <c r="CK441" s="22"/>
      <c r="CL441" s="22"/>
      <c r="CM441" s="22"/>
      <c r="CN441" s="22"/>
      <c r="CO441" s="22"/>
      <c r="CP441" s="22"/>
      <c r="CQ441" s="22"/>
      <c r="CR441" s="22"/>
      <c r="CS441" s="22"/>
      <c r="CT441" s="22"/>
      <c r="CU441" s="22"/>
      <c r="CV441" s="22"/>
      <c r="CW441" s="22"/>
      <c r="CX441" s="22"/>
      <c r="CY441" s="22"/>
      <c r="CZ441" s="22"/>
      <c r="DA441" s="22"/>
      <c r="DB441" s="22"/>
      <c r="DC441" s="22"/>
      <c r="DD441" s="22"/>
      <c r="DE441" s="22"/>
      <c r="DF441" s="22"/>
      <c r="DG441" s="22"/>
      <c r="DH441" s="22"/>
      <c r="DI441" s="22"/>
      <c r="DJ441" s="22"/>
      <c r="DK441" s="22"/>
      <c r="DL441" s="22"/>
      <c r="DM441" s="22"/>
      <c r="DN441" s="22"/>
      <c r="DO441" s="22"/>
      <c r="DP441" s="22"/>
      <c r="DQ441" s="22"/>
      <c r="DR441" s="22"/>
      <c r="DS441" s="22"/>
      <c r="DT441" s="22"/>
      <c r="DU441" s="22"/>
      <c r="DV441" s="22"/>
      <c r="DW441" s="22"/>
      <c r="DX441" s="22"/>
      <c r="DY441" s="22"/>
      <c r="DZ441" s="22"/>
      <c r="EA441" s="22"/>
      <c r="EB441" s="22"/>
      <c r="EC441" s="22"/>
      <c r="ED441" s="22"/>
      <c r="EE441" s="22"/>
      <c r="EF441" s="22"/>
      <c r="EG441" s="22"/>
      <c r="EH441" s="22"/>
      <c r="EI441" s="22"/>
      <c r="EJ441" s="22"/>
      <c r="EK441" s="22"/>
      <c r="EL441" s="22"/>
      <c r="EM441" s="22"/>
      <c r="EN441" s="22"/>
      <c r="EO441" s="22"/>
      <c r="EP441" s="22"/>
      <c r="EQ441" s="22"/>
      <c r="ER441" s="22"/>
      <c r="ES441" s="22"/>
      <c r="ET441" s="22"/>
      <c r="EU441" s="22"/>
      <c r="EV441" s="22"/>
      <c r="EW441" s="22"/>
      <c r="EX441" s="22"/>
      <c r="EY441" s="22"/>
      <c r="EZ441" s="22"/>
      <c r="FA441" s="22"/>
      <c r="FB441" s="22"/>
      <c r="FC441" s="22"/>
      <c r="FD441" s="22"/>
      <c r="FE441" s="22"/>
      <c r="FF441" s="22"/>
      <c r="FG441" s="22"/>
      <c r="FH441" s="22"/>
      <c r="FI441" s="22"/>
      <c r="FJ441" s="22"/>
      <c r="FK441" s="22"/>
      <c r="FL441" s="22"/>
      <c r="FM441" s="22"/>
      <c r="FN441" s="22"/>
      <c r="FO441" s="22"/>
      <c r="FP441" s="22"/>
      <c r="FQ441" s="22"/>
      <c r="FR441" s="22"/>
      <c r="FS441" s="22"/>
      <c r="FT441" s="22"/>
      <c r="FU441" s="22"/>
      <c r="FV441" s="22"/>
      <c r="FW441" s="22"/>
      <c r="FX441" s="22"/>
      <c r="FY441" s="22"/>
      <c r="FZ441" s="22"/>
      <c r="GA441" s="22"/>
      <c r="GB441" s="22"/>
      <c r="GC441" s="22"/>
      <c r="GD441" s="22"/>
      <c r="GE441" s="22"/>
      <c r="GF441" s="22"/>
      <c r="GG441" s="22"/>
      <c r="GH441" s="22"/>
      <c r="GI441" s="22"/>
      <c r="GJ441" s="22"/>
      <c r="GK441" s="22"/>
      <c r="GL441" s="22"/>
    </row>
    <row r="442" spans="1:194" s="21" customFormat="1" ht="31.5" x14ac:dyDescent="0.25">
      <c r="A442" s="19" t="s">
        <v>75</v>
      </c>
      <c r="B442" s="20">
        <f t="shared" si="64"/>
        <v>12000</v>
      </c>
      <c r="C442" s="20">
        <f t="shared" si="64"/>
        <v>12000</v>
      </c>
      <c r="D442" s="20">
        <f t="shared" si="64"/>
        <v>0</v>
      </c>
      <c r="E442" s="20">
        <f>SUM(E443)</f>
        <v>0</v>
      </c>
      <c r="F442" s="20">
        <f>SUM(F443)</f>
        <v>0</v>
      </c>
      <c r="G442" s="20">
        <f t="shared" si="65"/>
        <v>0</v>
      </c>
      <c r="H442" s="20">
        <f>SUM(H443)</f>
        <v>0</v>
      </c>
      <c r="I442" s="20">
        <f>SUM(I443)</f>
        <v>0</v>
      </c>
      <c r="J442" s="20">
        <f t="shared" si="66"/>
        <v>0</v>
      </c>
      <c r="K442" s="20">
        <f>SUM(K443)</f>
        <v>0</v>
      </c>
      <c r="L442" s="20">
        <f>SUM(L443)</f>
        <v>0</v>
      </c>
      <c r="M442" s="20">
        <f t="shared" si="67"/>
        <v>0</v>
      </c>
      <c r="N442" s="20">
        <f>SUM(N443)</f>
        <v>0</v>
      </c>
      <c r="O442" s="20">
        <f>SUM(O443)</f>
        <v>0</v>
      </c>
      <c r="P442" s="20">
        <f t="shared" si="68"/>
        <v>0</v>
      </c>
      <c r="Q442" s="20">
        <f>SUM(Q443)</f>
        <v>0</v>
      </c>
      <c r="R442" s="20">
        <f>SUM(R443)</f>
        <v>0</v>
      </c>
      <c r="S442" s="20">
        <f t="shared" si="69"/>
        <v>0</v>
      </c>
      <c r="T442" s="20">
        <f>SUM(T443)</f>
        <v>0</v>
      </c>
      <c r="U442" s="20">
        <f>SUM(U443)</f>
        <v>0</v>
      </c>
      <c r="V442" s="20">
        <f t="shared" si="70"/>
        <v>0</v>
      </c>
      <c r="W442" s="20">
        <f>SUM(W443)</f>
        <v>0</v>
      </c>
      <c r="X442" s="20">
        <f>SUM(X443)</f>
        <v>0</v>
      </c>
      <c r="Y442" s="20">
        <f t="shared" si="71"/>
        <v>0</v>
      </c>
      <c r="Z442" s="20">
        <f>SUM(Z443)</f>
        <v>12000</v>
      </c>
      <c r="AA442" s="20">
        <f>SUM(AA443)</f>
        <v>12000</v>
      </c>
      <c r="AB442" s="20">
        <f t="shared" si="72"/>
        <v>0</v>
      </c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/>
      <c r="BW442" s="22"/>
      <c r="BX442" s="22"/>
      <c r="BY442" s="22"/>
      <c r="BZ442" s="22"/>
      <c r="CA442" s="22"/>
      <c r="CB442" s="22"/>
      <c r="CC442" s="22"/>
      <c r="CD442" s="22"/>
      <c r="CE442" s="22"/>
      <c r="CF442" s="22"/>
      <c r="CG442" s="22"/>
      <c r="CH442" s="22"/>
      <c r="CI442" s="22"/>
      <c r="CJ442" s="22"/>
      <c r="CK442" s="22"/>
      <c r="CL442" s="22"/>
      <c r="CM442" s="22"/>
      <c r="CN442" s="22"/>
      <c r="CO442" s="22"/>
      <c r="CP442" s="22"/>
      <c r="CQ442" s="22"/>
      <c r="CR442" s="22"/>
      <c r="CS442" s="22"/>
      <c r="CT442" s="22"/>
      <c r="CU442" s="22"/>
      <c r="CV442" s="22"/>
      <c r="CW442" s="22"/>
      <c r="CX442" s="22"/>
      <c r="CY442" s="22"/>
      <c r="CZ442" s="22"/>
      <c r="DA442" s="22"/>
      <c r="DB442" s="22"/>
      <c r="DC442" s="22"/>
      <c r="DD442" s="22"/>
      <c r="DE442" s="22"/>
      <c r="DF442" s="22"/>
      <c r="DG442" s="22"/>
      <c r="DH442" s="22"/>
      <c r="DI442" s="22"/>
      <c r="DJ442" s="22"/>
      <c r="DK442" s="22"/>
      <c r="DL442" s="22"/>
      <c r="DM442" s="22"/>
      <c r="DN442" s="22"/>
      <c r="DO442" s="22"/>
      <c r="DP442" s="22"/>
      <c r="DQ442" s="22"/>
      <c r="DR442" s="22"/>
      <c r="DS442" s="22"/>
      <c r="DT442" s="22"/>
      <c r="DU442" s="22"/>
      <c r="DV442" s="22"/>
      <c r="DW442" s="22"/>
      <c r="DX442" s="22"/>
      <c r="DY442" s="22"/>
      <c r="DZ442" s="22"/>
      <c r="EA442" s="22"/>
      <c r="EB442" s="22"/>
      <c r="EC442" s="22"/>
      <c r="ED442" s="22"/>
      <c r="EE442" s="22"/>
      <c r="EF442" s="22"/>
      <c r="EG442" s="22"/>
      <c r="EH442" s="22"/>
      <c r="EI442" s="22"/>
      <c r="EJ442" s="22"/>
      <c r="EK442" s="22"/>
      <c r="EL442" s="22"/>
      <c r="EM442" s="22"/>
      <c r="EN442" s="22"/>
      <c r="EO442" s="22"/>
      <c r="EP442" s="22"/>
      <c r="EQ442" s="22"/>
      <c r="ER442" s="22"/>
      <c r="ES442" s="22"/>
      <c r="ET442" s="22"/>
      <c r="EU442" s="22"/>
      <c r="EV442" s="22"/>
      <c r="EW442" s="22"/>
      <c r="EX442" s="22"/>
      <c r="EY442" s="22"/>
      <c r="EZ442" s="22"/>
      <c r="FA442" s="22"/>
      <c r="FB442" s="22"/>
      <c r="FC442" s="22"/>
      <c r="FD442" s="22"/>
      <c r="FE442" s="22"/>
      <c r="FF442" s="22"/>
      <c r="FG442" s="22"/>
      <c r="FH442" s="22"/>
      <c r="FI442" s="22"/>
      <c r="FJ442" s="22"/>
      <c r="FK442" s="22"/>
      <c r="FL442" s="22"/>
      <c r="FM442" s="22"/>
      <c r="FN442" s="22"/>
      <c r="FO442" s="22"/>
      <c r="FP442" s="22"/>
      <c r="FQ442" s="22"/>
      <c r="FR442" s="22"/>
      <c r="FS442" s="22"/>
      <c r="FT442" s="22"/>
      <c r="FU442" s="22"/>
      <c r="FV442" s="22"/>
      <c r="FW442" s="22"/>
      <c r="FX442" s="22"/>
      <c r="FY442" s="22"/>
      <c r="FZ442" s="22"/>
      <c r="GA442" s="22"/>
      <c r="GB442" s="22"/>
      <c r="GC442" s="22"/>
      <c r="GD442" s="22"/>
      <c r="GE442" s="22"/>
      <c r="GF442" s="22"/>
      <c r="GG442" s="22"/>
      <c r="GH442" s="22"/>
      <c r="GI442" s="22"/>
      <c r="GJ442" s="22"/>
      <c r="GK442" s="22"/>
      <c r="GL442" s="22"/>
    </row>
    <row r="443" spans="1:194" s="22" customFormat="1" ht="31.5" x14ac:dyDescent="0.25">
      <c r="A443" s="19" t="s">
        <v>345</v>
      </c>
      <c r="B443" s="20">
        <f t="shared" si="64"/>
        <v>12000</v>
      </c>
      <c r="C443" s="20">
        <f t="shared" si="64"/>
        <v>12000</v>
      </c>
      <c r="D443" s="20">
        <f t="shared" si="64"/>
        <v>0</v>
      </c>
      <c r="E443" s="20">
        <f>SUM(E444:E444)</f>
        <v>0</v>
      </c>
      <c r="F443" s="20">
        <f>SUM(F444:F444)</f>
        <v>0</v>
      </c>
      <c r="G443" s="20">
        <f t="shared" si="65"/>
        <v>0</v>
      </c>
      <c r="H443" s="20">
        <f>SUM(H444:H444)</f>
        <v>0</v>
      </c>
      <c r="I443" s="20">
        <f>SUM(I444:I444)</f>
        <v>0</v>
      </c>
      <c r="J443" s="20">
        <f t="shared" si="66"/>
        <v>0</v>
      </c>
      <c r="K443" s="20">
        <f>SUM(K444:K444)</f>
        <v>0</v>
      </c>
      <c r="L443" s="20">
        <f>SUM(L444:L444)</f>
        <v>0</v>
      </c>
      <c r="M443" s="20">
        <f t="shared" si="67"/>
        <v>0</v>
      </c>
      <c r="N443" s="20">
        <f>SUM(N444:N444)</f>
        <v>0</v>
      </c>
      <c r="O443" s="20">
        <f>SUM(O444:O444)</f>
        <v>0</v>
      </c>
      <c r="P443" s="20">
        <f t="shared" si="68"/>
        <v>0</v>
      </c>
      <c r="Q443" s="20">
        <f>SUM(Q444:Q444)</f>
        <v>0</v>
      </c>
      <c r="R443" s="20">
        <f>SUM(R444:R444)</f>
        <v>0</v>
      </c>
      <c r="S443" s="20">
        <f t="shared" si="69"/>
        <v>0</v>
      </c>
      <c r="T443" s="20">
        <f>SUM(T444:T444)</f>
        <v>0</v>
      </c>
      <c r="U443" s="20">
        <f>SUM(U444:U444)</f>
        <v>0</v>
      </c>
      <c r="V443" s="20">
        <f t="shared" si="70"/>
        <v>0</v>
      </c>
      <c r="W443" s="20">
        <f>SUM(W444:W444)</f>
        <v>0</v>
      </c>
      <c r="X443" s="20">
        <f>SUM(X444:X444)</f>
        <v>0</v>
      </c>
      <c r="Y443" s="20">
        <f t="shared" si="71"/>
        <v>0</v>
      </c>
      <c r="Z443" s="20">
        <f>SUM(Z444:Z444)</f>
        <v>12000</v>
      </c>
      <c r="AA443" s="20">
        <f>SUM(AA444:AA444)</f>
        <v>12000</v>
      </c>
      <c r="AB443" s="20">
        <f t="shared" si="72"/>
        <v>0</v>
      </c>
    </row>
    <row r="444" spans="1:194" s="22" customFormat="1" ht="31.5" x14ac:dyDescent="0.25">
      <c r="A444" s="30" t="s">
        <v>356</v>
      </c>
      <c r="B444" s="28">
        <f t="shared" si="64"/>
        <v>12000</v>
      </c>
      <c r="C444" s="28">
        <f t="shared" si="64"/>
        <v>12000</v>
      </c>
      <c r="D444" s="28">
        <f t="shared" si="64"/>
        <v>0</v>
      </c>
      <c r="E444" s="28"/>
      <c r="F444" s="28"/>
      <c r="G444" s="28">
        <f t="shared" si="65"/>
        <v>0</v>
      </c>
      <c r="H444" s="28"/>
      <c r="I444" s="28"/>
      <c r="J444" s="28">
        <f t="shared" si="66"/>
        <v>0</v>
      </c>
      <c r="K444" s="28"/>
      <c r="L444" s="28"/>
      <c r="M444" s="28">
        <f t="shared" si="67"/>
        <v>0</v>
      </c>
      <c r="N444" s="28"/>
      <c r="O444" s="28"/>
      <c r="P444" s="28">
        <f t="shared" si="68"/>
        <v>0</v>
      </c>
      <c r="Q444" s="28"/>
      <c r="R444" s="28"/>
      <c r="S444" s="28">
        <f t="shared" si="69"/>
        <v>0</v>
      </c>
      <c r="T444" s="28"/>
      <c r="U444" s="28"/>
      <c r="V444" s="28">
        <f t="shared" si="70"/>
        <v>0</v>
      </c>
      <c r="W444" s="28"/>
      <c r="X444" s="28"/>
      <c r="Y444" s="28">
        <f t="shared" si="71"/>
        <v>0</v>
      </c>
      <c r="Z444" s="28">
        <v>12000</v>
      </c>
      <c r="AA444" s="28">
        <v>12000</v>
      </c>
      <c r="AB444" s="28">
        <f t="shared" si="72"/>
        <v>0</v>
      </c>
    </row>
    <row r="445" spans="1:194" s="22" customFormat="1" x14ac:dyDescent="0.25">
      <c r="A445" s="19" t="s">
        <v>148</v>
      </c>
      <c r="B445" s="20">
        <f t="shared" si="64"/>
        <v>0</v>
      </c>
      <c r="C445" s="20">
        <f t="shared" si="64"/>
        <v>0</v>
      </c>
      <c r="D445" s="20">
        <f t="shared" si="64"/>
        <v>0</v>
      </c>
      <c r="E445" s="20">
        <f>SUM(E446,E448)</f>
        <v>0</v>
      </c>
      <c r="F445" s="20">
        <f>SUM(F446,F448)</f>
        <v>0</v>
      </c>
      <c r="G445" s="20">
        <f t="shared" si="65"/>
        <v>0</v>
      </c>
      <c r="H445" s="20">
        <f>SUM(H446,H448)</f>
        <v>0</v>
      </c>
      <c r="I445" s="20">
        <f>SUM(I446,I448)</f>
        <v>0</v>
      </c>
      <c r="J445" s="20">
        <f t="shared" si="66"/>
        <v>0</v>
      </c>
      <c r="K445" s="20">
        <f>SUM(K446,K448)</f>
        <v>0</v>
      </c>
      <c r="L445" s="20">
        <f>SUM(L446,L448)</f>
        <v>0</v>
      </c>
      <c r="M445" s="20">
        <f t="shared" si="67"/>
        <v>0</v>
      </c>
      <c r="N445" s="20">
        <f>SUM(N446,N448)</f>
        <v>0</v>
      </c>
      <c r="O445" s="20">
        <f>SUM(O446,O448)</f>
        <v>0</v>
      </c>
      <c r="P445" s="20">
        <f t="shared" si="68"/>
        <v>0</v>
      </c>
      <c r="Q445" s="20">
        <f>SUM(Q446,Q448)</f>
        <v>0</v>
      </c>
      <c r="R445" s="20">
        <f>SUM(R446,R448)</f>
        <v>0</v>
      </c>
      <c r="S445" s="20">
        <f t="shared" si="69"/>
        <v>0</v>
      </c>
      <c r="T445" s="20">
        <f>SUM(T446,T448)</f>
        <v>0</v>
      </c>
      <c r="U445" s="20">
        <f>SUM(U446,U448)</f>
        <v>0</v>
      </c>
      <c r="V445" s="20">
        <f t="shared" si="70"/>
        <v>0</v>
      </c>
      <c r="W445" s="20">
        <f>SUM(W446,W448)</f>
        <v>0</v>
      </c>
      <c r="X445" s="20">
        <f>SUM(X446,X448)</f>
        <v>0</v>
      </c>
      <c r="Y445" s="20">
        <f t="shared" si="71"/>
        <v>0</v>
      </c>
      <c r="Z445" s="20">
        <f>SUM(Z446,Z448)</f>
        <v>0</v>
      </c>
      <c r="AA445" s="20">
        <f>SUM(AA446,AA448)</f>
        <v>0</v>
      </c>
      <c r="AB445" s="20">
        <f t="shared" si="72"/>
        <v>0</v>
      </c>
    </row>
    <row r="446" spans="1:194" s="21" customFormat="1" ht="31.5" x14ac:dyDescent="0.25">
      <c r="A446" s="19" t="s">
        <v>345</v>
      </c>
      <c r="B446" s="20">
        <f t="shared" si="64"/>
        <v>0</v>
      </c>
      <c r="C446" s="20">
        <f t="shared" si="64"/>
        <v>0</v>
      </c>
      <c r="D446" s="20">
        <f t="shared" si="64"/>
        <v>0</v>
      </c>
      <c r="E446" s="20">
        <f>SUM(E447:E447)</f>
        <v>0</v>
      </c>
      <c r="F446" s="20">
        <f>SUM(F447:F447)</f>
        <v>0</v>
      </c>
      <c r="G446" s="20">
        <f t="shared" si="65"/>
        <v>0</v>
      </c>
      <c r="H446" s="20">
        <f>SUM(H447:H447)</f>
        <v>0</v>
      </c>
      <c r="I446" s="20">
        <f>SUM(I447:I447)</f>
        <v>0</v>
      </c>
      <c r="J446" s="20">
        <f t="shared" si="66"/>
        <v>0</v>
      </c>
      <c r="K446" s="20">
        <f>SUM(K447:K447)</f>
        <v>0</v>
      </c>
      <c r="L446" s="20">
        <f>SUM(L447:L447)</f>
        <v>0</v>
      </c>
      <c r="M446" s="20">
        <f t="shared" si="67"/>
        <v>0</v>
      </c>
      <c r="N446" s="20">
        <f>SUM(N447:N447)</f>
        <v>0</v>
      </c>
      <c r="O446" s="20">
        <f>SUM(O447:O447)</f>
        <v>0</v>
      </c>
      <c r="P446" s="20">
        <f t="shared" si="68"/>
        <v>0</v>
      </c>
      <c r="Q446" s="20">
        <f>SUM(Q447:Q447)</f>
        <v>0</v>
      </c>
      <c r="R446" s="20">
        <f>SUM(R447:R447)</f>
        <v>0</v>
      </c>
      <c r="S446" s="20">
        <f t="shared" si="69"/>
        <v>0</v>
      </c>
      <c r="T446" s="20">
        <f>SUM(T447:T447)</f>
        <v>0</v>
      </c>
      <c r="U446" s="20">
        <f>SUM(U447:U447)</f>
        <v>0</v>
      </c>
      <c r="V446" s="20">
        <f t="shared" si="70"/>
        <v>0</v>
      </c>
      <c r="W446" s="20">
        <f>SUM(W447:W447)</f>
        <v>0</v>
      </c>
      <c r="X446" s="20">
        <f>SUM(X447:X447)</f>
        <v>0</v>
      </c>
      <c r="Y446" s="20">
        <f t="shared" si="71"/>
        <v>0</v>
      </c>
      <c r="Z446" s="20">
        <f>SUM(Z447:Z447)</f>
        <v>0</v>
      </c>
      <c r="AA446" s="20">
        <f>SUM(AA447:AA447)</f>
        <v>0</v>
      </c>
      <c r="AB446" s="20">
        <f t="shared" si="72"/>
        <v>0</v>
      </c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/>
      <c r="BW446" s="22"/>
      <c r="BX446" s="22"/>
      <c r="BY446" s="22"/>
      <c r="BZ446" s="22"/>
      <c r="CA446" s="22"/>
      <c r="CB446" s="22"/>
      <c r="CC446" s="22"/>
      <c r="CD446" s="22"/>
      <c r="CE446" s="22"/>
      <c r="CF446" s="22"/>
      <c r="CG446" s="22"/>
      <c r="CH446" s="22"/>
      <c r="CI446" s="22"/>
      <c r="CJ446" s="22"/>
      <c r="CK446" s="22"/>
      <c r="CL446" s="22"/>
      <c r="CM446" s="22"/>
      <c r="CN446" s="22"/>
      <c r="CO446" s="22"/>
      <c r="CP446" s="22"/>
      <c r="CQ446" s="22"/>
      <c r="CR446" s="22"/>
      <c r="CS446" s="22"/>
      <c r="CT446" s="22"/>
      <c r="CU446" s="22"/>
      <c r="CV446" s="22"/>
      <c r="CW446" s="22"/>
      <c r="CX446" s="22"/>
      <c r="CY446" s="22"/>
      <c r="CZ446" s="22"/>
      <c r="DA446" s="22"/>
      <c r="DB446" s="22"/>
      <c r="DC446" s="22"/>
      <c r="DD446" s="22"/>
      <c r="DE446" s="22"/>
      <c r="DF446" s="22"/>
      <c r="DG446" s="22"/>
      <c r="DH446" s="22"/>
      <c r="DI446" s="22"/>
      <c r="DJ446" s="22"/>
      <c r="DK446" s="22"/>
      <c r="DL446" s="22"/>
      <c r="DM446" s="22"/>
      <c r="DN446" s="22"/>
      <c r="DO446" s="22"/>
      <c r="DP446" s="22"/>
      <c r="DQ446" s="22"/>
      <c r="DR446" s="22"/>
      <c r="DS446" s="22"/>
      <c r="DT446" s="22"/>
      <c r="DU446" s="22"/>
      <c r="DV446" s="22"/>
      <c r="DW446" s="22"/>
      <c r="DX446" s="22"/>
      <c r="DY446" s="22"/>
      <c r="DZ446" s="22"/>
      <c r="EA446" s="22"/>
      <c r="EB446" s="22"/>
      <c r="EC446" s="22"/>
      <c r="ED446" s="22"/>
      <c r="EE446" s="22"/>
      <c r="EF446" s="22"/>
      <c r="EG446" s="22"/>
      <c r="EH446" s="22"/>
      <c r="EI446" s="22"/>
      <c r="EJ446" s="22"/>
      <c r="EK446" s="22"/>
      <c r="EL446" s="22"/>
      <c r="EM446" s="22"/>
      <c r="EN446" s="22"/>
      <c r="EO446" s="22"/>
      <c r="EP446" s="22"/>
      <c r="EQ446" s="22"/>
      <c r="ER446" s="22"/>
      <c r="ES446" s="22"/>
      <c r="ET446" s="22"/>
      <c r="EU446" s="22"/>
      <c r="EV446" s="22"/>
      <c r="EW446" s="22"/>
      <c r="EX446" s="22"/>
      <c r="EY446" s="22"/>
      <c r="EZ446" s="22"/>
      <c r="FA446" s="22"/>
      <c r="FB446" s="22"/>
      <c r="FC446" s="22"/>
      <c r="FD446" s="22"/>
      <c r="FE446" s="22"/>
      <c r="FF446" s="22"/>
      <c r="FG446" s="22"/>
      <c r="FH446" s="22"/>
      <c r="FI446" s="22"/>
      <c r="FJ446" s="22"/>
      <c r="FK446" s="22"/>
      <c r="FL446" s="22"/>
      <c r="FM446" s="22"/>
      <c r="FN446" s="22"/>
      <c r="FO446" s="22"/>
      <c r="FP446" s="22"/>
      <c r="FQ446" s="22"/>
      <c r="FR446" s="22"/>
      <c r="FS446" s="22"/>
      <c r="FT446" s="22"/>
      <c r="FU446" s="22"/>
      <c r="FV446" s="22"/>
      <c r="FW446" s="22"/>
      <c r="FX446" s="22"/>
      <c r="FY446" s="22"/>
      <c r="FZ446" s="22"/>
      <c r="GA446" s="22"/>
      <c r="GB446" s="22"/>
      <c r="GC446" s="22"/>
      <c r="GD446" s="22"/>
      <c r="GE446" s="22"/>
      <c r="GF446" s="22"/>
      <c r="GG446" s="22"/>
      <c r="GH446" s="22"/>
      <c r="GI446" s="22"/>
      <c r="GJ446" s="22"/>
      <c r="GK446" s="22"/>
      <c r="GL446" s="22"/>
    </row>
    <row r="447" spans="1:194" s="22" customFormat="1" x14ac:dyDescent="0.25">
      <c r="A447" s="30"/>
      <c r="B447" s="28">
        <f t="shared" si="64"/>
        <v>0</v>
      </c>
      <c r="C447" s="28">
        <f t="shared" si="64"/>
        <v>0</v>
      </c>
      <c r="D447" s="28">
        <f t="shared" si="64"/>
        <v>0</v>
      </c>
      <c r="E447" s="28"/>
      <c r="F447" s="28"/>
      <c r="G447" s="28">
        <f t="shared" si="65"/>
        <v>0</v>
      </c>
      <c r="H447" s="28"/>
      <c r="I447" s="28"/>
      <c r="J447" s="28">
        <f t="shared" si="66"/>
        <v>0</v>
      </c>
      <c r="K447" s="28"/>
      <c r="L447" s="28"/>
      <c r="M447" s="28">
        <f t="shared" si="67"/>
        <v>0</v>
      </c>
      <c r="N447" s="28"/>
      <c r="O447" s="28"/>
      <c r="P447" s="28">
        <f t="shared" si="68"/>
        <v>0</v>
      </c>
      <c r="Q447" s="28"/>
      <c r="R447" s="28"/>
      <c r="S447" s="28">
        <f t="shared" si="69"/>
        <v>0</v>
      </c>
      <c r="T447" s="28"/>
      <c r="U447" s="28"/>
      <c r="V447" s="28">
        <f t="shared" si="70"/>
        <v>0</v>
      </c>
      <c r="W447" s="28"/>
      <c r="X447" s="28"/>
      <c r="Y447" s="28">
        <f t="shared" si="71"/>
        <v>0</v>
      </c>
      <c r="Z447" s="28"/>
      <c r="AA447" s="28"/>
      <c r="AB447" s="28">
        <f t="shared" si="72"/>
        <v>0</v>
      </c>
    </row>
    <row r="448" spans="1:194" s="22" customFormat="1" x14ac:dyDescent="0.25">
      <c r="A448" s="19" t="s">
        <v>352</v>
      </c>
      <c r="B448" s="20">
        <f t="shared" si="64"/>
        <v>0</v>
      </c>
      <c r="C448" s="20">
        <f t="shared" si="64"/>
        <v>0</v>
      </c>
      <c r="D448" s="20">
        <f t="shared" si="64"/>
        <v>0</v>
      </c>
      <c r="E448" s="20">
        <f>SUM(E449:E449)</f>
        <v>0</v>
      </c>
      <c r="F448" s="20">
        <f>SUM(F449:F449)</f>
        <v>0</v>
      </c>
      <c r="G448" s="20">
        <f t="shared" si="65"/>
        <v>0</v>
      </c>
      <c r="H448" s="20">
        <f>SUM(H449:H449)</f>
        <v>0</v>
      </c>
      <c r="I448" s="20">
        <f>SUM(I449:I449)</f>
        <v>0</v>
      </c>
      <c r="J448" s="20">
        <f t="shared" si="66"/>
        <v>0</v>
      </c>
      <c r="K448" s="20">
        <f>SUM(K449:K449)</f>
        <v>0</v>
      </c>
      <c r="L448" s="20">
        <f>SUM(L449:L449)</f>
        <v>0</v>
      </c>
      <c r="M448" s="20">
        <f t="shared" si="67"/>
        <v>0</v>
      </c>
      <c r="N448" s="20">
        <f>SUM(N449:N449)</f>
        <v>0</v>
      </c>
      <c r="O448" s="20">
        <f>SUM(O449:O449)</f>
        <v>0</v>
      </c>
      <c r="P448" s="20">
        <f t="shared" si="68"/>
        <v>0</v>
      </c>
      <c r="Q448" s="20">
        <f>SUM(Q449:Q449)</f>
        <v>0</v>
      </c>
      <c r="R448" s="20">
        <f>SUM(R449:R449)</f>
        <v>0</v>
      </c>
      <c r="S448" s="20">
        <f t="shared" si="69"/>
        <v>0</v>
      </c>
      <c r="T448" s="20">
        <f>SUM(T449:T449)</f>
        <v>0</v>
      </c>
      <c r="U448" s="20">
        <f>SUM(U449:U449)</f>
        <v>0</v>
      </c>
      <c r="V448" s="20">
        <f t="shared" si="70"/>
        <v>0</v>
      </c>
      <c r="W448" s="20">
        <f>SUM(W449:W449)</f>
        <v>0</v>
      </c>
      <c r="X448" s="20">
        <f>SUM(X449:X449)</f>
        <v>0</v>
      </c>
      <c r="Y448" s="20">
        <f t="shared" si="71"/>
        <v>0</v>
      </c>
      <c r="Z448" s="20">
        <f>SUM(Z449:Z449)</f>
        <v>0</v>
      </c>
      <c r="AA448" s="20">
        <f>SUM(AA449:AA449)</f>
        <v>0</v>
      </c>
      <c r="AB448" s="20">
        <f t="shared" si="72"/>
        <v>0</v>
      </c>
    </row>
    <row r="449" spans="1:194" s="21" customFormat="1" x14ac:dyDescent="0.25">
      <c r="A449" s="24"/>
      <c r="B449" s="28">
        <f t="shared" si="64"/>
        <v>0</v>
      </c>
      <c r="C449" s="28">
        <f t="shared" si="64"/>
        <v>0</v>
      </c>
      <c r="D449" s="28">
        <f t="shared" si="64"/>
        <v>0</v>
      </c>
      <c r="E449" s="25"/>
      <c r="F449" s="25"/>
      <c r="G449" s="25">
        <f t="shared" si="65"/>
        <v>0</v>
      </c>
      <c r="H449" s="25"/>
      <c r="I449" s="25"/>
      <c r="J449" s="25">
        <f t="shared" si="66"/>
        <v>0</v>
      </c>
      <c r="K449" s="25"/>
      <c r="L449" s="25"/>
      <c r="M449" s="25">
        <f t="shared" si="67"/>
        <v>0</v>
      </c>
      <c r="N449" s="25"/>
      <c r="O449" s="25"/>
      <c r="P449" s="25">
        <f t="shared" si="68"/>
        <v>0</v>
      </c>
      <c r="Q449" s="25"/>
      <c r="R449" s="25"/>
      <c r="S449" s="25">
        <f t="shared" si="69"/>
        <v>0</v>
      </c>
      <c r="T449" s="25"/>
      <c r="U449" s="25"/>
      <c r="V449" s="25">
        <f t="shared" si="70"/>
        <v>0</v>
      </c>
      <c r="W449" s="25"/>
      <c r="X449" s="25"/>
      <c r="Y449" s="25">
        <f t="shared" si="71"/>
        <v>0</v>
      </c>
      <c r="Z449" s="25"/>
      <c r="AA449" s="25"/>
      <c r="AB449" s="25">
        <f t="shared" si="72"/>
        <v>0</v>
      </c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/>
      <c r="BW449" s="22"/>
      <c r="BX449" s="22"/>
      <c r="BY449" s="22"/>
      <c r="BZ449" s="22"/>
      <c r="CA449" s="22"/>
      <c r="CB449" s="22"/>
      <c r="CC449" s="22"/>
      <c r="CD449" s="22"/>
      <c r="CE449" s="22"/>
      <c r="CF449" s="22"/>
      <c r="CG449" s="22"/>
      <c r="CH449" s="22"/>
      <c r="CI449" s="22"/>
      <c r="CJ449" s="22"/>
      <c r="CK449" s="22"/>
      <c r="CL449" s="22"/>
      <c r="CM449" s="22"/>
      <c r="CN449" s="22"/>
      <c r="CO449" s="22"/>
      <c r="CP449" s="22"/>
      <c r="CQ449" s="22"/>
      <c r="CR449" s="22"/>
      <c r="CS449" s="22"/>
      <c r="CT449" s="22"/>
      <c r="CU449" s="22"/>
      <c r="CV449" s="22"/>
      <c r="CW449" s="22"/>
      <c r="CX449" s="22"/>
      <c r="CY449" s="22"/>
      <c r="CZ449" s="22"/>
      <c r="DA449" s="22"/>
      <c r="DB449" s="22"/>
      <c r="DC449" s="22"/>
      <c r="DD449" s="22"/>
      <c r="DE449" s="22"/>
      <c r="DF449" s="22"/>
      <c r="DG449" s="22"/>
      <c r="DH449" s="22"/>
      <c r="DI449" s="22"/>
      <c r="DJ449" s="22"/>
      <c r="DK449" s="22"/>
      <c r="DL449" s="22"/>
      <c r="DM449" s="22"/>
      <c r="DN449" s="22"/>
      <c r="DO449" s="22"/>
      <c r="DP449" s="22"/>
      <c r="DQ449" s="22"/>
      <c r="DR449" s="22"/>
      <c r="DS449" s="22"/>
      <c r="DT449" s="22"/>
      <c r="DU449" s="22"/>
      <c r="DV449" s="22"/>
      <c r="DW449" s="22"/>
      <c r="DX449" s="22"/>
      <c r="DY449" s="22"/>
      <c r="DZ449" s="22"/>
      <c r="EA449" s="22"/>
      <c r="EB449" s="22"/>
      <c r="EC449" s="22"/>
      <c r="ED449" s="22"/>
      <c r="EE449" s="22"/>
      <c r="EF449" s="22"/>
      <c r="EG449" s="22"/>
      <c r="EH449" s="22"/>
      <c r="EI449" s="22"/>
      <c r="EJ449" s="22"/>
      <c r="EK449" s="22"/>
      <c r="EL449" s="22"/>
      <c r="EM449" s="22"/>
      <c r="EN449" s="22"/>
      <c r="EO449" s="22"/>
      <c r="EP449" s="22"/>
      <c r="EQ449" s="22"/>
      <c r="ER449" s="22"/>
      <c r="ES449" s="22"/>
      <c r="ET449" s="22"/>
      <c r="EU449" s="22"/>
      <c r="EV449" s="22"/>
      <c r="EW449" s="22"/>
      <c r="EX449" s="22"/>
      <c r="EY449" s="22"/>
      <c r="EZ449" s="22"/>
      <c r="FA449" s="22"/>
      <c r="FB449" s="22"/>
      <c r="FC449" s="22"/>
      <c r="FD449" s="22"/>
      <c r="FE449" s="22"/>
      <c r="FF449" s="22"/>
      <c r="FG449" s="22"/>
      <c r="FH449" s="22"/>
      <c r="FI449" s="22"/>
      <c r="FJ449" s="22"/>
      <c r="FK449" s="22"/>
      <c r="FL449" s="22"/>
      <c r="FM449" s="22"/>
      <c r="FN449" s="22"/>
      <c r="FO449" s="22"/>
      <c r="FP449" s="22"/>
      <c r="FQ449" s="22"/>
      <c r="FR449" s="22"/>
      <c r="FS449" s="22"/>
      <c r="FT449" s="22"/>
      <c r="FU449" s="22"/>
      <c r="FV449" s="22"/>
      <c r="FW449" s="22"/>
      <c r="FX449" s="22"/>
      <c r="FY449" s="22"/>
      <c r="FZ449" s="22"/>
      <c r="GA449" s="22"/>
      <c r="GB449" s="22"/>
      <c r="GC449" s="22"/>
      <c r="GD449" s="22"/>
      <c r="GE449" s="22"/>
      <c r="GF449" s="22"/>
      <c r="GG449" s="22"/>
      <c r="GH449" s="22"/>
      <c r="GI449" s="22"/>
      <c r="GJ449" s="22"/>
      <c r="GK449" s="22"/>
      <c r="GL449" s="22"/>
    </row>
    <row r="450" spans="1:194" s="22" customFormat="1" x14ac:dyDescent="0.25">
      <c r="A450" s="19" t="s">
        <v>162</v>
      </c>
      <c r="B450" s="20">
        <f t="shared" si="64"/>
        <v>71640</v>
      </c>
      <c r="C450" s="20">
        <f t="shared" si="64"/>
        <v>71640</v>
      </c>
      <c r="D450" s="20">
        <f t="shared" si="64"/>
        <v>0</v>
      </c>
      <c r="E450" s="20">
        <f>SUM(E451,E453)</f>
        <v>0</v>
      </c>
      <c r="F450" s="20">
        <f>SUM(F451,F453)</f>
        <v>0</v>
      </c>
      <c r="G450" s="20">
        <f t="shared" si="65"/>
        <v>0</v>
      </c>
      <c r="H450" s="20">
        <f>SUM(H451,H453)</f>
        <v>0</v>
      </c>
      <c r="I450" s="20">
        <f>SUM(I451,I453)</f>
        <v>0</v>
      </c>
      <c r="J450" s="20">
        <f t="shared" si="66"/>
        <v>0</v>
      </c>
      <c r="K450" s="20">
        <f>SUM(K451,K453)</f>
        <v>0</v>
      </c>
      <c r="L450" s="20">
        <f>SUM(L451,L453)</f>
        <v>0</v>
      </c>
      <c r="M450" s="20">
        <f t="shared" si="67"/>
        <v>0</v>
      </c>
      <c r="N450" s="20">
        <f>SUM(N451,N453)</f>
        <v>0</v>
      </c>
      <c r="O450" s="20">
        <f>SUM(O451,O453)</f>
        <v>0</v>
      </c>
      <c r="P450" s="20">
        <f t="shared" si="68"/>
        <v>0</v>
      </c>
      <c r="Q450" s="20">
        <f>SUM(Q451,Q453)</f>
        <v>71640</v>
      </c>
      <c r="R450" s="20">
        <f>SUM(R451,R453)</f>
        <v>71640</v>
      </c>
      <c r="S450" s="20">
        <f t="shared" si="69"/>
        <v>0</v>
      </c>
      <c r="T450" s="20">
        <f>SUM(T451,T453)</f>
        <v>0</v>
      </c>
      <c r="U450" s="20">
        <f>SUM(U451,U453)</f>
        <v>0</v>
      </c>
      <c r="V450" s="20">
        <f t="shared" si="70"/>
        <v>0</v>
      </c>
      <c r="W450" s="20">
        <f>SUM(W451,W453)</f>
        <v>0</v>
      </c>
      <c r="X450" s="20">
        <f>SUM(X451,X453)</f>
        <v>0</v>
      </c>
      <c r="Y450" s="20">
        <f t="shared" si="71"/>
        <v>0</v>
      </c>
      <c r="Z450" s="20">
        <f>SUM(Z451,Z453)</f>
        <v>0</v>
      </c>
      <c r="AA450" s="20">
        <f>SUM(AA451,AA453)</f>
        <v>0</v>
      </c>
      <c r="AB450" s="20">
        <f t="shared" si="72"/>
        <v>0</v>
      </c>
    </row>
    <row r="451" spans="1:194" s="21" customFormat="1" ht="31.5" x14ac:dyDescent="0.25">
      <c r="A451" s="19" t="s">
        <v>345</v>
      </c>
      <c r="B451" s="20">
        <f t="shared" si="64"/>
        <v>71640</v>
      </c>
      <c r="C451" s="20">
        <f t="shared" si="64"/>
        <v>71640</v>
      </c>
      <c r="D451" s="20">
        <f t="shared" si="64"/>
        <v>0</v>
      </c>
      <c r="E451" s="20">
        <f>SUM(E452)</f>
        <v>0</v>
      </c>
      <c r="F451" s="20">
        <f>SUM(F452)</f>
        <v>0</v>
      </c>
      <c r="G451" s="20">
        <f t="shared" si="65"/>
        <v>0</v>
      </c>
      <c r="H451" s="20">
        <f>SUM(H452)</f>
        <v>0</v>
      </c>
      <c r="I451" s="20">
        <f>SUM(I452)</f>
        <v>0</v>
      </c>
      <c r="J451" s="20">
        <f t="shared" si="66"/>
        <v>0</v>
      </c>
      <c r="K451" s="20">
        <f>SUM(K452)</f>
        <v>0</v>
      </c>
      <c r="L451" s="20">
        <f>SUM(L452)</f>
        <v>0</v>
      </c>
      <c r="M451" s="20">
        <f t="shared" si="67"/>
        <v>0</v>
      </c>
      <c r="N451" s="20">
        <f>SUM(N452)</f>
        <v>0</v>
      </c>
      <c r="O451" s="20">
        <f>SUM(O452)</f>
        <v>0</v>
      </c>
      <c r="P451" s="20">
        <f t="shared" si="68"/>
        <v>0</v>
      </c>
      <c r="Q451" s="20">
        <f>SUM(Q452)</f>
        <v>71640</v>
      </c>
      <c r="R451" s="20">
        <f>SUM(R452)</f>
        <v>71640</v>
      </c>
      <c r="S451" s="20">
        <f t="shared" si="69"/>
        <v>0</v>
      </c>
      <c r="T451" s="20">
        <f>SUM(T452)</f>
        <v>0</v>
      </c>
      <c r="U451" s="20">
        <f>SUM(U452)</f>
        <v>0</v>
      </c>
      <c r="V451" s="20">
        <f t="shared" si="70"/>
        <v>0</v>
      </c>
      <c r="W451" s="20">
        <f>SUM(W452)</f>
        <v>0</v>
      </c>
      <c r="X451" s="20">
        <f>SUM(X452)</f>
        <v>0</v>
      </c>
      <c r="Y451" s="20">
        <f t="shared" si="71"/>
        <v>0</v>
      </c>
      <c r="Z451" s="20">
        <f>SUM(Z452)</f>
        <v>0</v>
      </c>
      <c r="AA451" s="20">
        <f>SUM(AA452)</f>
        <v>0</v>
      </c>
      <c r="AB451" s="20">
        <f t="shared" si="72"/>
        <v>0</v>
      </c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/>
      <c r="BY451" s="22"/>
      <c r="BZ451" s="22"/>
      <c r="CA451" s="22"/>
      <c r="CB451" s="22"/>
      <c r="CC451" s="22"/>
      <c r="CD451" s="22"/>
      <c r="CE451" s="22"/>
      <c r="CF451" s="22"/>
      <c r="CG451" s="22"/>
      <c r="CH451" s="22"/>
      <c r="CI451" s="22"/>
      <c r="CJ451" s="22"/>
      <c r="CK451" s="22"/>
      <c r="CL451" s="22"/>
      <c r="CM451" s="22"/>
      <c r="CN451" s="22"/>
      <c r="CO451" s="22"/>
      <c r="CP451" s="22"/>
      <c r="CQ451" s="22"/>
      <c r="CR451" s="22"/>
      <c r="CS451" s="22"/>
      <c r="CT451" s="22"/>
      <c r="CU451" s="22"/>
      <c r="CV451" s="22"/>
      <c r="CW451" s="22"/>
      <c r="CX451" s="22"/>
      <c r="CY451" s="22"/>
      <c r="CZ451" s="22"/>
      <c r="DA451" s="22"/>
      <c r="DB451" s="22"/>
      <c r="DC451" s="22"/>
      <c r="DD451" s="22"/>
      <c r="DE451" s="22"/>
      <c r="DF451" s="22"/>
      <c r="DG451" s="22"/>
      <c r="DH451" s="22"/>
      <c r="DI451" s="22"/>
      <c r="DJ451" s="22"/>
      <c r="DK451" s="22"/>
      <c r="DL451" s="22"/>
      <c r="DM451" s="22"/>
      <c r="DN451" s="22"/>
      <c r="DO451" s="22"/>
      <c r="DP451" s="22"/>
      <c r="DQ451" s="22"/>
      <c r="DR451" s="22"/>
      <c r="DS451" s="22"/>
      <c r="DT451" s="22"/>
      <c r="DU451" s="22"/>
      <c r="DV451" s="22"/>
      <c r="DW451" s="22"/>
      <c r="DX451" s="22"/>
      <c r="DY451" s="22"/>
      <c r="DZ451" s="22"/>
      <c r="EA451" s="22"/>
      <c r="EB451" s="22"/>
      <c r="EC451" s="22"/>
      <c r="ED451" s="22"/>
      <c r="EE451" s="22"/>
      <c r="EF451" s="22"/>
      <c r="EG451" s="22"/>
      <c r="EH451" s="22"/>
      <c r="EI451" s="22"/>
      <c r="EJ451" s="22"/>
      <c r="EK451" s="22"/>
      <c r="EL451" s="22"/>
      <c r="EM451" s="22"/>
      <c r="EN451" s="22"/>
      <c r="EO451" s="22"/>
      <c r="EP451" s="22"/>
      <c r="EQ451" s="22"/>
      <c r="ER451" s="22"/>
      <c r="ES451" s="22"/>
      <c r="ET451" s="22"/>
      <c r="EU451" s="22"/>
      <c r="EV451" s="22"/>
      <c r="EW451" s="22"/>
      <c r="EX451" s="22"/>
      <c r="EY451" s="22"/>
      <c r="EZ451" s="22"/>
      <c r="FA451" s="22"/>
      <c r="FB451" s="22"/>
      <c r="FC451" s="22"/>
      <c r="FD451" s="22"/>
      <c r="FE451" s="22"/>
      <c r="FF451" s="22"/>
      <c r="FG451" s="22"/>
      <c r="FH451" s="22"/>
      <c r="FI451" s="22"/>
      <c r="FJ451" s="22"/>
      <c r="FK451" s="22"/>
      <c r="FL451" s="22"/>
      <c r="FM451" s="22"/>
      <c r="FN451" s="22"/>
      <c r="FO451" s="22"/>
      <c r="FP451" s="22"/>
      <c r="FQ451" s="22"/>
      <c r="FR451" s="22"/>
      <c r="FS451" s="22"/>
      <c r="FT451" s="22"/>
      <c r="FU451" s="22"/>
      <c r="FV451" s="22"/>
      <c r="FW451" s="22"/>
      <c r="FX451" s="22"/>
      <c r="FY451" s="22"/>
      <c r="FZ451" s="22"/>
      <c r="GA451" s="22"/>
      <c r="GB451" s="22"/>
      <c r="GC451" s="22"/>
      <c r="GD451" s="22"/>
      <c r="GE451" s="22"/>
      <c r="GF451" s="22"/>
      <c r="GG451" s="22"/>
      <c r="GH451" s="22"/>
      <c r="GI451" s="22"/>
      <c r="GJ451" s="22"/>
      <c r="GK451" s="22"/>
      <c r="GL451" s="22"/>
    </row>
    <row r="452" spans="1:194" s="22" customFormat="1" ht="31.5" x14ac:dyDescent="0.25">
      <c r="A452" s="27" t="s">
        <v>357</v>
      </c>
      <c r="B452" s="28">
        <f t="shared" si="64"/>
        <v>71640</v>
      </c>
      <c r="C452" s="28">
        <f t="shared" si="64"/>
        <v>71640</v>
      </c>
      <c r="D452" s="28">
        <f t="shared" si="64"/>
        <v>0</v>
      </c>
      <c r="E452" s="28"/>
      <c r="F452" s="28"/>
      <c r="G452" s="28">
        <f t="shared" si="65"/>
        <v>0</v>
      </c>
      <c r="H452" s="28"/>
      <c r="I452" s="28"/>
      <c r="J452" s="28">
        <f t="shared" si="66"/>
        <v>0</v>
      </c>
      <c r="K452" s="28"/>
      <c r="L452" s="28"/>
      <c r="M452" s="28">
        <f t="shared" si="67"/>
        <v>0</v>
      </c>
      <c r="N452" s="28"/>
      <c r="O452" s="28"/>
      <c r="P452" s="28">
        <f t="shared" si="68"/>
        <v>0</v>
      </c>
      <c r="Q452" s="28">
        <v>71640</v>
      </c>
      <c r="R452" s="28">
        <v>71640</v>
      </c>
      <c r="S452" s="28">
        <f t="shared" si="69"/>
        <v>0</v>
      </c>
      <c r="T452" s="28"/>
      <c r="U452" s="28"/>
      <c r="V452" s="28">
        <f t="shared" si="70"/>
        <v>0</v>
      </c>
      <c r="W452" s="28"/>
      <c r="X452" s="28"/>
      <c r="Y452" s="28">
        <f t="shared" si="71"/>
        <v>0</v>
      </c>
      <c r="Z452" s="28"/>
      <c r="AA452" s="28"/>
      <c r="AB452" s="28">
        <f t="shared" si="72"/>
        <v>0</v>
      </c>
      <c r="FS452" s="21"/>
      <c r="FT452" s="21"/>
      <c r="FU452" s="21"/>
      <c r="FV452" s="21"/>
      <c r="FW452" s="21"/>
      <c r="FX452" s="21"/>
      <c r="FY452" s="21"/>
      <c r="FZ452" s="21"/>
      <c r="GA452" s="21"/>
      <c r="GB452" s="21"/>
      <c r="GC452" s="21"/>
      <c r="GD452" s="21"/>
      <c r="GE452" s="21"/>
      <c r="GF452" s="21"/>
      <c r="GG452" s="21"/>
      <c r="GH452" s="21"/>
      <c r="GI452" s="21"/>
      <c r="GJ452" s="21"/>
      <c r="GK452" s="21"/>
      <c r="GL452" s="21"/>
    </row>
    <row r="453" spans="1:194" s="22" customFormat="1" x14ac:dyDescent="0.25">
      <c r="A453" s="19" t="s">
        <v>352</v>
      </c>
      <c r="B453" s="20">
        <f t="shared" si="64"/>
        <v>0</v>
      </c>
      <c r="C453" s="20">
        <f t="shared" si="64"/>
        <v>0</v>
      </c>
      <c r="D453" s="20">
        <f t="shared" si="64"/>
        <v>0</v>
      </c>
      <c r="E453" s="20">
        <f>SUM(E454)</f>
        <v>0</v>
      </c>
      <c r="F453" s="20">
        <f>SUM(F454)</f>
        <v>0</v>
      </c>
      <c r="G453" s="20">
        <f t="shared" si="65"/>
        <v>0</v>
      </c>
      <c r="H453" s="20">
        <f>SUM(H454)</f>
        <v>0</v>
      </c>
      <c r="I453" s="20">
        <f>SUM(I454)</f>
        <v>0</v>
      </c>
      <c r="J453" s="20">
        <f t="shared" si="66"/>
        <v>0</v>
      </c>
      <c r="K453" s="20">
        <f>SUM(K454)</f>
        <v>0</v>
      </c>
      <c r="L453" s="20">
        <f>SUM(L454)</f>
        <v>0</v>
      </c>
      <c r="M453" s="20">
        <f t="shared" si="67"/>
        <v>0</v>
      </c>
      <c r="N453" s="20">
        <f>SUM(N454)</f>
        <v>0</v>
      </c>
      <c r="O453" s="20">
        <f>SUM(O454)</f>
        <v>0</v>
      </c>
      <c r="P453" s="20">
        <f t="shared" si="68"/>
        <v>0</v>
      </c>
      <c r="Q453" s="20">
        <f>SUM(Q454)</f>
        <v>0</v>
      </c>
      <c r="R453" s="20">
        <f>SUM(R454)</f>
        <v>0</v>
      </c>
      <c r="S453" s="20">
        <f t="shared" si="69"/>
        <v>0</v>
      </c>
      <c r="T453" s="20">
        <f>SUM(T454)</f>
        <v>0</v>
      </c>
      <c r="U453" s="20">
        <f>SUM(U454)</f>
        <v>0</v>
      </c>
      <c r="V453" s="20">
        <f t="shared" si="70"/>
        <v>0</v>
      </c>
      <c r="W453" s="20">
        <f>SUM(W454)</f>
        <v>0</v>
      </c>
      <c r="X453" s="20">
        <f>SUM(X454)</f>
        <v>0</v>
      </c>
      <c r="Y453" s="20">
        <f t="shared" si="71"/>
        <v>0</v>
      </c>
      <c r="Z453" s="20">
        <f>SUM(Z454)</f>
        <v>0</v>
      </c>
      <c r="AA453" s="20">
        <f>SUM(AA454)</f>
        <v>0</v>
      </c>
      <c r="AB453" s="20">
        <f t="shared" si="72"/>
        <v>0</v>
      </c>
    </row>
    <row r="454" spans="1:194" s="22" customFormat="1" x14ac:dyDescent="0.25">
      <c r="A454" s="30" t="s">
        <v>358</v>
      </c>
      <c r="B454" s="28">
        <f t="shared" si="64"/>
        <v>0</v>
      </c>
      <c r="C454" s="28">
        <f t="shared" si="64"/>
        <v>0</v>
      </c>
      <c r="D454" s="28">
        <f t="shared" si="64"/>
        <v>0</v>
      </c>
      <c r="E454" s="28"/>
      <c r="F454" s="28"/>
      <c r="G454" s="28">
        <f t="shared" si="65"/>
        <v>0</v>
      </c>
      <c r="H454" s="28"/>
      <c r="I454" s="28"/>
      <c r="J454" s="28">
        <f t="shared" si="66"/>
        <v>0</v>
      </c>
      <c r="K454" s="28">
        <f>12600-12600</f>
        <v>0</v>
      </c>
      <c r="L454" s="28">
        <f>12600-12600</f>
        <v>0</v>
      </c>
      <c r="M454" s="28">
        <f t="shared" si="67"/>
        <v>0</v>
      </c>
      <c r="N454" s="28"/>
      <c r="O454" s="28"/>
      <c r="P454" s="28">
        <f t="shared" si="68"/>
        <v>0</v>
      </c>
      <c r="Q454" s="28"/>
      <c r="R454" s="28"/>
      <c r="S454" s="28">
        <f t="shared" si="69"/>
        <v>0</v>
      </c>
      <c r="T454" s="28"/>
      <c r="U454" s="28"/>
      <c r="V454" s="28">
        <f t="shared" si="70"/>
        <v>0</v>
      </c>
      <c r="W454" s="28"/>
      <c r="X454" s="28"/>
      <c r="Y454" s="28">
        <f t="shared" si="71"/>
        <v>0</v>
      </c>
      <c r="Z454" s="28">
        <f>29400-29400</f>
        <v>0</v>
      </c>
      <c r="AA454" s="28">
        <f>29400-29400</f>
        <v>0</v>
      </c>
      <c r="AB454" s="28">
        <f t="shared" si="72"/>
        <v>0</v>
      </c>
    </row>
    <row r="455" spans="1:194" s="22" customFormat="1" x14ac:dyDescent="0.25">
      <c r="A455" s="44" t="s">
        <v>359</v>
      </c>
      <c r="B455" s="20">
        <f t="shared" si="64"/>
        <v>2002500</v>
      </c>
      <c r="C455" s="20">
        <f t="shared" si="64"/>
        <v>2002500</v>
      </c>
      <c r="D455" s="20">
        <f t="shared" si="64"/>
        <v>0</v>
      </c>
      <c r="E455" s="20">
        <f>SUM(E456)</f>
        <v>0</v>
      </c>
      <c r="F455" s="20">
        <f>SUM(F456)</f>
        <v>0</v>
      </c>
      <c r="G455" s="20">
        <f t="shared" si="65"/>
        <v>0</v>
      </c>
      <c r="H455" s="20">
        <f>SUM(H456)</f>
        <v>0</v>
      </c>
      <c r="I455" s="20">
        <f>SUM(I456)</f>
        <v>56796</v>
      </c>
      <c r="J455" s="20">
        <f t="shared" si="66"/>
        <v>56796</v>
      </c>
      <c r="K455" s="20">
        <f>SUM(K456)</f>
        <v>152500</v>
      </c>
      <c r="L455" s="20">
        <f>SUM(L456)</f>
        <v>95704</v>
      </c>
      <c r="M455" s="20">
        <f t="shared" si="67"/>
        <v>-56796</v>
      </c>
      <c r="N455" s="20">
        <f>SUM(N456)</f>
        <v>0</v>
      </c>
      <c r="O455" s="20">
        <f>SUM(O456)</f>
        <v>0</v>
      </c>
      <c r="P455" s="20">
        <f t="shared" si="68"/>
        <v>0</v>
      </c>
      <c r="Q455" s="20">
        <f>SUM(Q456)</f>
        <v>0</v>
      </c>
      <c r="R455" s="20">
        <f>SUM(R456)</f>
        <v>0</v>
      </c>
      <c r="S455" s="20">
        <f t="shared" si="69"/>
        <v>0</v>
      </c>
      <c r="T455" s="20">
        <f>SUM(T456)</f>
        <v>0</v>
      </c>
      <c r="U455" s="20">
        <f>SUM(U456)</f>
        <v>0</v>
      </c>
      <c r="V455" s="20">
        <f t="shared" si="70"/>
        <v>0</v>
      </c>
      <c r="W455" s="20">
        <f>SUM(W456)</f>
        <v>0</v>
      </c>
      <c r="X455" s="20">
        <f>SUM(X456)</f>
        <v>0</v>
      </c>
      <c r="Y455" s="20">
        <f t="shared" si="71"/>
        <v>0</v>
      </c>
      <c r="Z455" s="20">
        <f>SUM(Z456)</f>
        <v>1850000</v>
      </c>
      <c r="AA455" s="20">
        <f>SUM(AA456)</f>
        <v>1850000</v>
      </c>
      <c r="AB455" s="20">
        <f t="shared" si="72"/>
        <v>0</v>
      </c>
    </row>
    <row r="456" spans="1:194" s="22" customFormat="1" ht="31.5" x14ac:dyDescent="0.25">
      <c r="A456" s="19" t="s">
        <v>75</v>
      </c>
      <c r="B456" s="20">
        <f t="shared" si="64"/>
        <v>2002500</v>
      </c>
      <c r="C456" s="20">
        <f t="shared" si="64"/>
        <v>2002500</v>
      </c>
      <c r="D456" s="20">
        <f t="shared" si="64"/>
        <v>0</v>
      </c>
      <c r="E456" s="20">
        <f>SUM(E457:E459)</f>
        <v>0</v>
      </c>
      <c r="F456" s="20">
        <f>SUM(F457:F459)</f>
        <v>0</v>
      </c>
      <c r="G456" s="20">
        <f t="shared" si="65"/>
        <v>0</v>
      </c>
      <c r="H456" s="20">
        <f>SUM(H457:H459)</f>
        <v>0</v>
      </c>
      <c r="I456" s="20">
        <f>SUM(I457:I459)</f>
        <v>56796</v>
      </c>
      <c r="J456" s="20">
        <f t="shared" si="66"/>
        <v>56796</v>
      </c>
      <c r="K456" s="20">
        <f>SUM(K457:K459)</f>
        <v>152500</v>
      </c>
      <c r="L456" s="20">
        <f>SUM(L457:L459)</f>
        <v>95704</v>
      </c>
      <c r="M456" s="20">
        <f t="shared" si="67"/>
        <v>-56796</v>
      </c>
      <c r="N456" s="20">
        <f>SUM(N457:N459)</f>
        <v>0</v>
      </c>
      <c r="O456" s="20">
        <f>SUM(O457:O459)</f>
        <v>0</v>
      </c>
      <c r="P456" s="20">
        <f t="shared" si="68"/>
        <v>0</v>
      </c>
      <c r="Q456" s="20">
        <f>SUM(Q457:Q459)</f>
        <v>0</v>
      </c>
      <c r="R456" s="20">
        <f>SUM(R457:R459)</f>
        <v>0</v>
      </c>
      <c r="S456" s="20">
        <f t="shared" si="69"/>
        <v>0</v>
      </c>
      <c r="T456" s="20">
        <f>SUM(T457:T459)</f>
        <v>0</v>
      </c>
      <c r="U456" s="20">
        <f>SUM(U457:U459)</f>
        <v>0</v>
      </c>
      <c r="V456" s="20">
        <f t="shared" si="70"/>
        <v>0</v>
      </c>
      <c r="W456" s="20">
        <f>SUM(W457:W459)</f>
        <v>0</v>
      </c>
      <c r="X456" s="20">
        <f>SUM(X457:X459)</f>
        <v>0</v>
      </c>
      <c r="Y456" s="20">
        <f t="shared" si="71"/>
        <v>0</v>
      </c>
      <c r="Z456" s="20">
        <f>SUM(Z457:Z459)</f>
        <v>1850000</v>
      </c>
      <c r="AA456" s="20">
        <f>SUM(AA457:AA459)</f>
        <v>1850000</v>
      </c>
      <c r="AB456" s="20">
        <f t="shared" si="72"/>
        <v>0</v>
      </c>
    </row>
    <row r="457" spans="1:194" s="22" customFormat="1" ht="31.5" x14ac:dyDescent="0.25">
      <c r="A457" s="32" t="s">
        <v>360</v>
      </c>
      <c r="B457" s="28">
        <f t="shared" si="64"/>
        <v>1850000</v>
      </c>
      <c r="C457" s="28">
        <f t="shared" si="64"/>
        <v>1850000</v>
      </c>
      <c r="D457" s="28">
        <f t="shared" si="64"/>
        <v>0</v>
      </c>
      <c r="E457" s="28"/>
      <c r="F457" s="28"/>
      <c r="G457" s="28">
        <f t="shared" si="65"/>
        <v>0</v>
      </c>
      <c r="H457" s="28">
        <f>0</f>
        <v>0</v>
      </c>
      <c r="I457" s="28">
        <f>56796</f>
        <v>56796</v>
      </c>
      <c r="J457" s="28">
        <f t="shared" si="66"/>
        <v>56796</v>
      </c>
      <c r="K457" s="28">
        <f>100000</f>
        <v>100000</v>
      </c>
      <c r="L457" s="28">
        <f>100000-56796</f>
        <v>43204</v>
      </c>
      <c r="M457" s="28">
        <f t="shared" si="67"/>
        <v>-56796</v>
      </c>
      <c r="N457" s="28"/>
      <c r="O457" s="28"/>
      <c r="P457" s="28">
        <f t="shared" si="68"/>
        <v>0</v>
      </c>
      <c r="Q457" s="28"/>
      <c r="R457" s="28"/>
      <c r="S457" s="28">
        <f t="shared" si="69"/>
        <v>0</v>
      </c>
      <c r="T457" s="28"/>
      <c r="U457" s="28"/>
      <c r="V457" s="28">
        <f t="shared" si="70"/>
        <v>0</v>
      </c>
      <c r="W457" s="28"/>
      <c r="X457" s="28"/>
      <c r="Y457" s="28">
        <f t="shared" si="71"/>
        <v>0</v>
      </c>
      <c r="Z457" s="42">
        <f>1850000-100000</f>
        <v>1750000</v>
      </c>
      <c r="AA457" s="42">
        <f>1850000-100000</f>
        <v>1750000</v>
      </c>
      <c r="AB457" s="28">
        <f t="shared" si="72"/>
        <v>0</v>
      </c>
      <c r="FS457" s="21"/>
      <c r="FT457" s="21"/>
      <c r="FU457" s="21"/>
      <c r="FV457" s="21"/>
      <c r="FW457" s="21"/>
      <c r="FX457" s="21"/>
      <c r="FY457" s="21"/>
      <c r="FZ457" s="21"/>
      <c r="GA457" s="21"/>
      <c r="GB457" s="21"/>
      <c r="GC457" s="21"/>
      <c r="GD457" s="21"/>
      <c r="GE457" s="21"/>
      <c r="GF457" s="21"/>
      <c r="GG457" s="21"/>
      <c r="GH457" s="21"/>
      <c r="GI457" s="21"/>
      <c r="GJ457" s="21"/>
      <c r="GK457" s="21"/>
      <c r="GL457" s="21"/>
    </row>
    <row r="458" spans="1:194" s="22" customFormat="1" ht="31.5" x14ac:dyDescent="0.25">
      <c r="A458" s="32" t="s">
        <v>361</v>
      </c>
      <c r="B458" s="28">
        <f t="shared" si="64"/>
        <v>100000</v>
      </c>
      <c r="C458" s="28">
        <f t="shared" si="64"/>
        <v>100000</v>
      </c>
      <c r="D458" s="28">
        <f t="shared" si="64"/>
        <v>0</v>
      </c>
      <c r="E458" s="28"/>
      <c r="F458" s="28"/>
      <c r="G458" s="28">
        <f t="shared" si="65"/>
        <v>0</v>
      </c>
      <c r="H458" s="28"/>
      <c r="I458" s="28"/>
      <c r="J458" s="28">
        <f t="shared" si="66"/>
        <v>0</v>
      </c>
      <c r="K458" s="28">
        <f>100000-100000</f>
        <v>0</v>
      </c>
      <c r="L458" s="28">
        <f>100000-100000</f>
        <v>0</v>
      </c>
      <c r="M458" s="28">
        <f t="shared" si="67"/>
        <v>0</v>
      </c>
      <c r="N458" s="28"/>
      <c r="O458" s="28"/>
      <c r="P458" s="28">
        <f t="shared" si="68"/>
        <v>0</v>
      </c>
      <c r="Q458" s="28"/>
      <c r="R458" s="28"/>
      <c r="S458" s="28">
        <f t="shared" si="69"/>
        <v>0</v>
      </c>
      <c r="T458" s="28"/>
      <c r="U458" s="28"/>
      <c r="V458" s="28">
        <f t="shared" si="70"/>
        <v>0</v>
      </c>
      <c r="W458" s="28"/>
      <c r="X458" s="28"/>
      <c r="Y458" s="28">
        <f t="shared" si="71"/>
        <v>0</v>
      </c>
      <c r="Z458" s="28">
        <f>100000</f>
        <v>100000</v>
      </c>
      <c r="AA458" s="28">
        <f>100000</f>
        <v>100000</v>
      </c>
      <c r="AB458" s="28">
        <f t="shared" si="72"/>
        <v>0</v>
      </c>
      <c r="FS458" s="21"/>
      <c r="FT458" s="21"/>
      <c r="FU458" s="21"/>
      <c r="FV458" s="21"/>
      <c r="FW458" s="21"/>
      <c r="FX458" s="21"/>
      <c r="FY458" s="21"/>
      <c r="FZ458" s="21"/>
      <c r="GA458" s="21"/>
      <c r="GB458" s="21"/>
      <c r="GC458" s="21"/>
      <c r="GD458" s="21"/>
      <c r="GE458" s="21"/>
      <c r="GF458" s="21"/>
      <c r="GG458" s="21"/>
      <c r="GH458" s="21"/>
      <c r="GI458" s="21"/>
      <c r="GJ458" s="21"/>
      <c r="GK458" s="21"/>
      <c r="GL458" s="21"/>
    </row>
    <row r="459" spans="1:194" s="22" customFormat="1" ht="31.5" x14ac:dyDescent="0.25">
      <c r="A459" s="32" t="s">
        <v>362</v>
      </c>
      <c r="B459" s="28">
        <f t="shared" si="64"/>
        <v>52500</v>
      </c>
      <c r="C459" s="28">
        <f t="shared" si="64"/>
        <v>52500</v>
      </c>
      <c r="D459" s="28">
        <f t="shared" si="64"/>
        <v>0</v>
      </c>
      <c r="E459" s="28"/>
      <c r="F459" s="28"/>
      <c r="G459" s="28">
        <f t="shared" si="65"/>
        <v>0</v>
      </c>
      <c r="H459" s="28"/>
      <c r="I459" s="28"/>
      <c r="J459" s="28">
        <f t="shared" si="66"/>
        <v>0</v>
      </c>
      <c r="K459" s="42">
        <v>52500</v>
      </c>
      <c r="L459" s="42">
        <v>52500</v>
      </c>
      <c r="M459" s="28">
        <f t="shared" si="67"/>
        <v>0</v>
      </c>
      <c r="N459" s="28"/>
      <c r="O459" s="28"/>
      <c r="P459" s="28">
        <f t="shared" si="68"/>
        <v>0</v>
      </c>
      <c r="Q459" s="28"/>
      <c r="R459" s="28"/>
      <c r="S459" s="28">
        <f t="shared" si="69"/>
        <v>0</v>
      </c>
      <c r="T459" s="28"/>
      <c r="U459" s="28"/>
      <c r="V459" s="28">
        <f t="shared" si="70"/>
        <v>0</v>
      </c>
      <c r="W459" s="28"/>
      <c r="X459" s="28"/>
      <c r="Y459" s="28">
        <f t="shared" si="71"/>
        <v>0</v>
      </c>
      <c r="Z459" s="28"/>
      <c r="AA459" s="28"/>
      <c r="AB459" s="28">
        <f t="shared" si="72"/>
        <v>0</v>
      </c>
      <c r="FS459" s="21"/>
      <c r="FT459" s="21"/>
      <c r="FU459" s="21"/>
      <c r="FV459" s="21"/>
      <c r="FW459" s="21"/>
      <c r="FX459" s="21"/>
      <c r="FY459" s="21"/>
      <c r="FZ459" s="21"/>
      <c r="GA459" s="21"/>
      <c r="GB459" s="21"/>
      <c r="GC459" s="21"/>
      <c r="GD459" s="21"/>
      <c r="GE459" s="21"/>
      <c r="GF459" s="21"/>
      <c r="GG459" s="21"/>
      <c r="GH459" s="21"/>
      <c r="GI459" s="21"/>
      <c r="GJ459" s="21"/>
      <c r="GK459" s="21"/>
      <c r="GL459" s="21"/>
    </row>
    <row r="460" spans="1:194" s="22" customFormat="1" x14ac:dyDescent="0.25">
      <c r="A460" s="44" t="s">
        <v>363</v>
      </c>
      <c r="B460" s="20">
        <f t="shared" si="64"/>
        <v>569613</v>
      </c>
      <c r="C460" s="20">
        <f t="shared" si="64"/>
        <v>569613</v>
      </c>
      <c r="D460" s="20">
        <f t="shared" si="64"/>
        <v>0</v>
      </c>
      <c r="E460" s="20">
        <f t="shared" ref="E460:F462" si="74">SUM(E461)</f>
        <v>0</v>
      </c>
      <c r="F460" s="20">
        <f t="shared" si="74"/>
        <v>0</v>
      </c>
      <c r="G460" s="20">
        <f t="shared" si="65"/>
        <v>0</v>
      </c>
      <c r="H460" s="20">
        <f t="shared" ref="H460:I462" si="75">SUM(H461)</f>
        <v>0</v>
      </c>
      <c r="I460" s="20">
        <f t="shared" si="75"/>
        <v>0</v>
      </c>
      <c r="J460" s="20">
        <f t="shared" si="66"/>
        <v>0</v>
      </c>
      <c r="K460" s="20">
        <f t="shared" ref="K460:L462" si="76">SUM(K461)</f>
        <v>0</v>
      </c>
      <c r="L460" s="20">
        <f t="shared" si="76"/>
        <v>0</v>
      </c>
      <c r="M460" s="20">
        <f t="shared" si="67"/>
        <v>0</v>
      </c>
      <c r="N460" s="20">
        <f t="shared" ref="N460:O462" si="77">SUM(N461)</f>
        <v>0</v>
      </c>
      <c r="O460" s="20">
        <f t="shared" si="77"/>
        <v>0</v>
      </c>
      <c r="P460" s="20">
        <f t="shared" si="68"/>
        <v>0</v>
      </c>
      <c r="Q460" s="20">
        <f t="shared" ref="Q460:R462" si="78">SUM(Q461)</f>
        <v>569613</v>
      </c>
      <c r="R460" s="20">
        <f t="shared" si="78"/>
        <v>569613</v>
      </c>
      <c r="S460" s="20">
        <f t="shared" si="69"/>
        <v>0</v>
      </c>
      <c r="T460" s="20">
        <f t="shared" ref="T460:U462" si="79">SUM(T461)</f>
        <v>0</v>
      </c>
      <c r="U460" s="20">
        <f t="shared" si="79"/>
        <v>0</v>
      </c>
      <c r="V460" s="20">
        <f t="shared" si="70"/>
        <v>0</v>
      </c>
      <c r="W460" s="20">
        <f t="shared" ref="W460:X462" si="80">SUM(W461)</f>
        <v>0</v>
      </c>
      <c r="X460" s="20">
        <f t="shared" si="80"/>
        <v>0</v>
      </c>
      <c r="Y460" s="20">
        <f t="shared" si="71"/>
        <v>0</v>
      </c>
      <c r="Z460" s="20">
        <f t="shared" ref="Z460:AA462" si="81">SUM(Z461)</f>
        <v>0</v>
      </c>
      <c r="AA460" s="20">
        <f t="shared" si="81"/>
        <v>0</v>
      </c>
      <c r="AB460" s="20">
        <f t="shared" si="72"/>
        <v>0</v>
      </c>
    </row>
    <row r="461" spans="1:194" s="22" customFormat="1" x14ac:dyDescent="0.25">
      <c r="A461" s="19" t="s">
        <v>162</v>
      </c>
      <c r="B461" s="20">
        <f t="shared" si="64"/>
        <v>569613</v>
      </c>
      <c r="C461" s="20">
        <f t="shared" si="64"/>
        <v>569613</v>
      </c>
      <c r="D461" s="20">
        <f t="shared" si="64"/>
        <v>0</v>
      </c>
      <c r="E461" s="20">
        <f t="shared" si="74"/>
        <v>0</v>
      </c>
      <c r="F461" s="20">
        <f t="shared" si="74"/>
        <v>0</v>
      </c>
      <c r="G461" s="20">
        <f t="shared" si="65"/>
        <v>0</v>
      </c>
      <c r="H461" s="20">
        <f t="shared" si="75"/>
        <v>0</v>
      </c>
      <c r="I461" s="20">
        <f t="shared" si="75"/>
        <v>0</v>
      </c>
      <c r="J461" s="20">
        <f t="shared" si="66"/>
        <v>0</v>
      </c>
      <c r="K461" s="20">
        <f t="shared" si="76"/>
        <v>0</v>
      </c>
      <c r="L461" s="20">
        <f t="shared" si="76"/>
        <v>0</v>
      </c>
      <c r="M461" s="20">
        <f t="shared" si="67"/>
        <v>0</v>
      </c>
      <c r="N461" s="20">
        <f t="shared" si="77"/>
        <v>0</v>
      </c>
      <c r="O461" s="20">
        <f t="shared" si="77"/>
        <v>0</v>
      </c>
      <c r="P461" s="20">
        <f t="shared" si="68"/>
        <v>0</v>
      </c>
      <c r="Q461" s="20">
        <f t="shared" si="78"/>
        <v>569613</v>
      </c>
      <c r="R461" s="20">
        <f t="shared" si="78"/>
        <v>569613</v>
      </c>
      <c r="S461" s="20">
        <f t="shared" si="69"/>
        <v>0</v>
      </c>
      <c r="T461" s="20">
        <f t="shared" si="79"/>
        <v>0</v>
      </c>
      <c r="U461" s="20">
        <f t="shared" si="79"/>
        <v>0</v>
      </c>
      <c r="V461" s="20">
        <f t="shared" si="70"/>
        <v>0</v>
      </c>
      <c r="W461" s="20">
        <f t="shared" si="80"/>
        <v>0</v>
      </c>
      <c r="X461" s="20">
        <f t="shared" si="80"/>
        <v>0</v>
      </c>
      <c r="Y461" s="20">
        <f t="shared" si="71"/>
        <v>0</v>
      </c>
      <c r="Z461" s="20">
        <f t="shared" si="81"/>
        <v>0</v>
      </c>
      <c r="AA461" s="20">
        <f t="shared" si="81"/>
        <v>0</v>
      </c>
      <c r="AB461" s="20">
        <f t="shared" si="72"/>
        <v>0</v>
      </c>
    </row>
    <row r="462" spans="1:194" s="22" customFormat="1" x14ac:dyDescent="0.25">
      <c r="A462" s="44" t="s">
        <v>364</v>
      </c>
      <c r="B462" s="20">
        <f t="shared" si="64"/>
        <v>569613</v>
      </c>
      <c r="C462" s="20">
        <f t="shared" si="64"/>
        <v>569613</v>
      </c>
      <c r="D462" s="20">
        <f t="shared" si="64"/>
        <v>0</v>
      </c>
      <c r="E462" s="20">
        <f t="shared" si="74"/>
        <v>0</v>
      </c>
      <c r="F462" s="20">
        <f t="shared" si="74"/>
        <v>0</v>
      </c>
      <c r="G462" s="20">
        <f t="shared" si="65"/>
        <v>0</v>
      </c>
      <c r="H462" s="20">
        <f t="shared" si="75"/>
        <v>0</v>
      </c>
      <c r="I462" s="20">
        <f t="shared" si="75"/>
        <v>0</v>
      </c>
      <c r="J462" s="20">
        <f t="shared" si="66"/>
        <v>0</v>
      </c>
      <c r="K462" s="20">
        <f t="shared" si="76"/>
        <v>0</v>
      </c>
      <c r="L462" s="20">
        <f t="shared" si="76"/>
        <v>0</v>
      </c>
      <c r="M462" s="20">
        <f t="shared" si="67"/>
        <v>0</v>
      </c>
      <c r="N462" s="20">
        <f t="shared" si="77"/>
        <v>0</v>
      </c>
      <c r="O462" s="20">
        <f t="shared" si="77"/>
        <v>0</v>
      </c>
      <c r="P462" s="20">
        <f t="shared" si="68"/>
        <v>0</v>
      </c>
      <c r="Q462" s="20">
        <f t="shared" si="78"/>
        <v>569613</v>
      </c>
      <c r="R462" s="20">
        <f t="shared" si="78"/>
        <v>569613</v>
      </c>
      <c r="S462" s="20">
        <f t="shared" si="69"/>
        <v>0</v>
      </c>
      <c r="T462" s="20">
        <f t="shared" si="79"/>
        <v>0</v>
      </c>
      <c r="U462" s="20">
        <f t="shared" si="79"/>
        <v>0</v>
      </c>
      <c r="V462" s="20">
        <f t="shared" si="70"/>
        <v>0</v>
      </c>
      <c r="W462" s="20">
        <f t="shared" si="80"/>
        <v>0</v>
      </c>
      <c r="X462" s="20">
        <f t="shared" si="80"/>
        <v>0</v>
      </c>
      <c r="Y462" s="20">
        <f t="shared" si="71"/>
        <v>0</v>
      </c>
      <c r="Z462" s="20">
        <f t="shared" si="81"/>
        <v>0</v>
      </c>
      <c r="AA462" s="20">
        <f t="shared" si="81"/>
        <v>0</v>
      </c>
      <c r="AB462" s="20">
        <f t="shared" si="72"/>
        <v>0</v>
      </c>
    </row>
    <row r="463" spans="1:194" s="22" customFormat="1" ht="47.25" x14ac:dyDescent="0.25">
      <c r="A463" s="32" t="s">
        <v>365</v>
      </c>
      <c r="B463" s="28">
        <f t="shared" si="64"/>
        <v>569613</v>
      </c>
      <c r="C463" s="28">
        <f t="shared" si="64"/>
        <v>569613</v>
      </c>
      <c r="D463" s="28">
        <f t="shared" si="64"/>
        <v>0</v>
      </c>
      <c r="E463" s="28"/>
      <c r="F463" s="28"/>
      <c r="G463" s="28">
        <f t="shared" si="65"/>
        <v>0</v>
      </c>
      <c r="H463" s="28"/>
      <c r="I463" s="28"/>
      <c r="J463" s="28">
        <f t="shared" si="66"/>
        <v>0</v>
      </c>
      <c r="K463" s="28"/>
      <c r="L463" s="28"/>
      <c r="M463" s="28">
        <f t="shared" si="67"/>
        <v>0</v>
      </c>
      <c r="N463" s="28"/>
      <c r="O463" s="28"/>
      <c r="P463" s="28">
        <f t="shared" si="68"/>
        <v>0</v>
      </c>
      <c r="Q463" s="28">
        <v>569613</v>
      </c>
      <c r="R463" s="28">
        <v>569613</v>
      </c>
      <c r="S463" s="28">
        <f t="shared" si="69"/>
        <v>0</v>
      </c>
      <c r="T463" s="28"/>
      <c r="U463" s="28"/>
      <c r="V463" s="28">
        <f t="shared" si="70"/>
        <v>0</v>
      </c>
      <c r="W463" s="28"/>
      <c r="X463" s="28"/>
      <c r="Y463" s="28">
        <f t="shared" si="71"/>
        <v>0</v>
      </c>
      <c r="Z463" s="42">
        <v>0</v>
      </c>
      <c r="AA463" s="42">
        <v>0</v>
      </c>
      <c r="AB463" s="28">
        <f t="shared" si="72"/>
        <v>0</v>
      </c>
      <c r="FS463" s="21"/>
      <c r="FT463" s="21"/>
      <c r="FU463" s="21"/>
      <c r="FV463" s="21"/>
      <c r="FW463" s="21"/>
      <c r="FX463" s="21"/>
      <c r="FY463" s="21"/>
      <c r="FZ463" s="21"/>
      <c r="GA463" s="21"/>
      <c r="GB463" s="21"/>
      <c r="GC463" s="21"/>
      <c r="GD463" s="21"/>
      <c r="GE463" s="21"/>
      <c r="GF463" s="21"/>
      <c r="GG463" s="21"/>
      <c r="GH463" s="21"/>
      <c r="GI463" s="21"/>
      <c r="GJ463" s="21"/>
      <c r="GK463" s="21"/>
      <c r="GL463" s="21"/>
    </row>
    <row r="464" spans="1:194" s="22" customFormat="1" x14ac:dyDescent="0.25">
      <c r="A464" s="45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FS464" s="21"/>
      <c r="FT464" s="21"/>
      <c r="FU464" s="21"/>
      <c r="FV464" s="21"/>
      <c r="FW464" s="21"/>
      <c r="FX464" s="21"/>
      <c r="FY464" s="21"/>
      <c r="FZ464" s="21"/>
      <c r="GA464" s="21"/>
      <c r="GB464" s="21"/>
      <c r="GC464" s="21"/>
      <c r="GD464" s="21"/>
      <c r="GE464" s="21"/>
      <c r="GF464" s="21"/>
      <c r="GG464" s="21"/>
      <c r="GH464" s="21"/>
      <c r="GI464" s="21"/>
      <c r="GJ464" s="21"/>
      <c r="GK464" s="21"/>
      <c r="GL464" s="21"/>
    </row>
    <row r="465" spans="1:194" s="48" customFormat="1" x14ac:dyDescent="0.25">
      <c r="A465" s="47" t="s">
        <v>366</v>
      </c>
      <c r="D465" s="49"/>
    </row>
    <row r="466" spans="1:194" s="48" customFormat="1" x14ac:dyDescent="0.25">
      <c r="A466" s="50" t="s">
        <v>367</v>
      </c>
      <c r="B466" s="47"/>
      <c r="C466" s="47"/>
      <c r="D466" s="49"/>
    </row>
    <row r="467" spans="1:194" s="22" customFormat="1" x14ac:dyDescent="0.25">
      <c r="A467" s="45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FS467" s="21"/>
      <c r="FT467" s="21"/>
      <c r="FU467" s="21"/>
      <c r="FV467" s="21"/>
      <c r="FW467" s="21"/>
      <c r="FX467" s="21"/>
      <c r="FY467" s="21"/>
      <c r="FZ467" s="21"/>
      <c r="GA467" s="21"/>
      <c r="GB467" s="21"/>
      <c r="GC467" s="21"/>
      <c r="GD467" s="21"/>
      <c r="GE467" s="21"/>
      <c r="GF467" s="21"/>
      <c r="GG467" s="21"/>
      <c r="GH467" s="21"/>
      <c r="GI467" s="21"/>
      <c r="GJ467" s="21"/>
      <c r="GK467" s="21"/>
      <c r="GL467" s="21"/>
    </row>
    <row r="468" spans="1:194" s="22" customFormat="1" x14ac:dyDescent="0.25">
      <c r="A468" s="51" t="s">
        <v>368</v>
      </c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  <c r="FE468" s="2"/>
      <c r="FF468" s="2"/>
      <c r="FG468" s="2"/>
      <c r="FH468" s="2"/>
      <c r="FI468" s="2"/>
      <c r="FJ468" s="2"/>
      <c r="FK468" s="2"/>
      <c r="FL468" s="2"/>
      <c r="FM468" s="2"/>
      <c r="FN468" s="2"/>
      <c r="FO468" s="2"/>
      <c r="FP468" s="2"/>
      <c r="FQ468" s="2"/>
      <c r="FR468" s="2"/>
      <c r="FS468" s="2"/>
      <c r="FT468" s="2"/>
      <c r="FU468" s="2"/>
      <c r="FV468" s="2"/>
      <c r="FW468" s="2"/>
      <c r="FX468" s="2"/>
      <c r="FY468" s="2"/>
      <c r="FZ468" s="2"/>
      <c r="GA468" s="2"/>
      <c r="GB468" s="2"/>
      <c r="GC468" s="2"/>
      <c r="GD468" s="2"/>
      <c r="GE468" s="2"/>
      <c r="GF468" s="2"/>
      <c r="GG468" s="2"/>
      <c r="GH468" s="2"/>
      <c r="GI468" s="2"/>
      <c r="GJ468" s="2"/>
      <c r="GK468" s="2"/>
      <c r="GL468" s="2"/>
    </row>
    <row r="469" spans="1:194" s="22" customFormat="1" x14ac:dyDescent="0.25">
      <c r="A469" s="52" t="s">
        <v>369</v>
      </c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  <c r="FE469" s="2"/>
      <c r="FF469" s="2"/>
      <c r="FG469" s="2"/>
      <c r="FH469" s="2"/>
      <c r="FI469" s="2"/>
      <c r="FJ469" s="2"/>
      <c r="FK469" s="2"/>
      <c r="FL469" s="2"/>
      <c r="FM469" s="2"/>
      <c r="FN469" s="2"/>
      <c r="FO469" s="2"/>
      <c r="FP469" s="2"/>
      <c r="FQ469" s="2"/>
      <c r="FR469" s="2"/>
      <c r="FS469" s="2"/>
      <c r="FT469" s="2"/>
      <c r="FU469" s="2"/>
      <c r="FV469" s="2"/>
      <c r="FW469" s="2"/>
      <c r="FX469" s="2"/>
      <c r="FY469" s="2"/>
      <c r="FZ469" s="2"/>
      <c r="GA469" s="2"/>
      <c r="GB469" s="2"/>
      <c r="GC469" s="2"/>
      <c r="GD469" s="2"/>
      <c r="GE469" s="2"/>
      <c r="GF469" s="2"/>
      <c r="GG469" s="2"/>
      <c r="GH469" s="2"/>
      <c r="GI469" s="2"/>
      <c r="GJ469" s="2"/>
      <c r="GK469" s="2"/>
      <c r="GL469" s="2"/>
    </row>
    <row r="470" spans="1:194" s="22" customFormat="1" x14ac:dyDescent="0.25">
      <c r="A470" s="53" t="s">
        <v>370</v>
      </c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  <c r="FG470" s="2"/>
      <c r="FH470" s="2"/>
      <c r="FI470" s="2"/>
      <c r="FJ470" s="2"/>
      <c r="FK470" s="2"/>
      <c r="FL470" s="2"/>
      <c r="FM470" s="2"/>
      <c r="FN470" s="2"/>
      <c r="FO470" s="2"/>
      <c r="FP470" s="2"/>
      <c r="FQ470" s="2"/>
      <c r="FR470" s="2"/>
      <c r="FS470" s="2"/>
      <c r="FT470" s="2"/>
      <c r="FU470" s="2"/>
      <c r="FV470" s="2"/>
      <c r="FW470" s="2"/>
      <c r="FX470" s="2"/>
      <c r="FY470" s="2"/>
      <c r="FZ470" s="2"/>
      <c r="GA470" s="2"/>
      <c r="GB470" s="2"/>
      <c r="GC470" s="2"/>
      <c r="GD470" s="2"/>
      <c r="GE470" s="2"/>
      <c r="GF470" s="2"/>
      <c r="GG470" s="2"/>
      <c r="GH470" s="2"/>
      <c r="GI470" s="2"/>
      <c r="GJ470" s="2"/>
      <c r="GK470" s="2"/>
      <c r="GL470" s="2"/>
    </row>
    <row r="471" spans="1:194" s="22" customFormat="1" x14ac:dyDescent="0.25">
      <c r="A471" s="5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  <c r="FE471" s="2"/>
      <c r="FF471" s="2"/>
      <c r="FG471" s="2"/>
      <c r="FH471" s="2"/>
      <c r="FI471" s="2"/>
      <c r="FJ471" s="2"/>
      <c r="FK471" s="2"/>
      <c r="FL471" s="2"/>
      <c r="FM471" s="2"/>
      <c r="FN471" s="2"/>
      <c r="FO471" s="2"/>
      <c r="FP471" s="2"/>
      <c r="FQ471" s="2"/>
      <c r="FR471" s="2"/>
      <c r="FS471" s="2"/>
      <c r="FT471" s="2"/>
      <c r="FU471" s="2"/>
      <c r="FV471" s="2"/>
      <c r="FW471" s="2"/>
      <c r="FX471" s="2"/>
      <c r="FY471" s="2"/>
      <c r="FZ471" s="2"/>
      <c r="GA471" s="2"/>
      <c r="GB471" s="2"/>
      <c r="GC471" s="2"/>
      <c r="GD471" s="2"/>
      <c r="GE471" s="2"/>
      <c r="GF471" s="2"/>
      <c r="GG471" s="2"/>
      <c r="GH471" s="2"/>
      <c r="GI471" s="2"/>
      <c r="GJ471" s="2"/>
      <c r="GK471" s="2"/>
      <c r="GL471" s="2"/>
    </row>
    <row r="472" spans="1:194" s="22" customFormat="1" x14ac:dyDescent="0.25">
      <c r="A472" s="54" t="s">
        <v>371</v>
      </c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  <c r="FE472" s="2"/>
      <c r="FF472" s="2"/>
      <c r="FG472" s="2"/>
      <c r="FH472" s="2"/>
      <c r="FI472" s="2"/>
      <c r="FJ472" s="2"/>
      <c r="FK472" s="2"/>
      <c r="FL472" s="2"/>
      <c r="FM472" s="2"/>
      <c r="FN472" s="2"/>
      <c r="FO472" s="2"/>
      <c r="FP472" s="2"/>
      <c r="FQ472" s="2"/>
      <c r="FR472" s="2"/>
      <c r="FS472" s="2"/>
      <c r="FT472" s="2"/>
      <c r="FU472" s="2"/>
      <c r="FV472" s="2"/>
      <c r="FW472" s="2"/>
      <c r="FX472" s="2"/>
      <c r="FY472" s="2"/>
      <c r="FZ472" s="2"/>
      <c r="GA472" s="2"/>
      <c r="GB472" s="2"/>
      <c r="GC472" s="2"/>
      <c r="GD472" s="2"/>
      <c r="GE472" s="2"/>
      <c r="GF472" s="2"/>
      <c r="GG472" s="2"/>
      <c r="GH472" s="2"/>
      <c r="GI472" s="2"/>
      <c r="GJ472" s="2"/>
      <c r="GK472" s="2"/>
      <c r="GL472" s="2"/>
    </row>
    <row r="473" spans="1:194" s="57" customFormat="1" x14ac:dyDescent="0.25">
      <c r="A473" s="55" t="s">
        <v>372</v>
      </c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56"/>
      <c r="AT473" s="56"/>
      <c r="AU473" s="56"/>
      <c r="AV473" s="56"/>
      <c r="AW473" s="56"/>
      <c r="AX473" s="56"/>
      <c r="AY473" s="56"/>
      <c r="AZ473" s="56"/>
      <c r="BA473" s="56"/>
      <c r="BB473" s="56"/>
      <c r="BC473" s="56"/>
      <c r="BD473" s="56"/>
      <c r="BE473" s="56"/>
      <c r="BF473" s="56"/>
      <c r="BG473" s="56"/>
      <c r="BH473" s="56"/>
      <c r="BI473" s="56"/>
      <c r="BJ473" s="56"/>
      <c r="BK473" s="56"/>
      <c r="BL473" s="56"/>
      <c r="BM473" s="56"/>
      <c r="BN473" s="56"/>
      <c r="BO473" s="56"/>
      <c r="BP473" s="56"/>
      <c r="BQ473" s="56"/>
      <c r="BR473" s="56"/>
      <c r="BS473" s="56"/>
      <c r="BT473" s="56"/>
      <c r="BU473" s="56"/>
      <c r="BV473" s="56"/>
      <c r="BW473" s="56"/>
      <c r="BX473" s="56"/>
      <c r="BY473" s="56"/>
      <c r="BZ473" s="56"/>
      <c r="CA473" s="56"/>
      <c r="CB473" s="56"/>
      <c r="CC473" s="56"/>
      <c r="CD473" s="56"/>
      <c r="CE473" s="56"/>
      <c r="CF473" s="56"/>
      <c r="CG473" s="56"/>
      <c r="CH473" s="56"/>
      <c r="CI473" s="56"/>
      <c r="CJ473" s="56"/>
      <c r="CK473" s="56"/>
      <c r="CL473" s="56"/>
      <c r="CM473" s="56"/>
      <c r="CN473" s="56"/>
      <c r="CO473" s="56"/>
      <c r="CP473" s="56"/>
      <c r="CQ473" s="56"/>
      <c r="CR473" s="56"/>
      <c r="CS473" s="56"/>
      <c r="CT473" s="56"/>
      <c r="CU473" s="56"/>
      <c r="CV473" s="56"/>
      <c r="CW473" s="56"/>
      <c r="CX473" s="56"/>
      <c r="CY473" s="56"/>
      <c r="CZ473" s="56"/>
      <c r="DA473" s="56"/>
      <c r="DB473" s="56"/>
      <c r="DC473" s="56"/>
      <c r="DD473" s="56"/>
      <c r="DE473" s="56"/>
      <c r="DF473" s="56"/>
      <c r="DG473" s="56"/>
      <c r="DH473" s="56"/>
      <c r="DI473" s="56"/>
      <c r="DJ473" s="56"/>
      <c r="DK473" s="56"/>
      <c r="DL473" s="56"/>
      <c r="DM473" s="56"/>
      <c r="DN473" s="56"/>
      <c r="DO473" s="56"/>
      <c r="DP473" s="56"/>
      <c r="DQ473" s="56"/>
      <c r="DR473" s="56"/>
      <c r="DS473" s="56"/>
      <c r="DT473" s="56"/>
      <c r="DU473" s="56"/>
      <c r="DV473" s="56"/>
      <c r="DW473" s="56"/>
      <c r="DX473" s="56"/>
      <c r="DY473" s="56"/>
      <c r="DZ473" s="56"/>
      <c r="EA473" s="56"/>
      <c r="EB473" s="56"/>
      <c r="EC473" s="56"/>
      <c r="ED473" s="56"/>
      <c r="EE473" s="56"/>
      <c r="EF473" s="56"/>
      <c r="EG473" s="56"/>
      <c r="EH473" s="56"/>
      <c r="EI473" s="56"/>
      <c r="EJ473" s="56"/>
      <c r="EK473" s="56"/>
      <c r="EL473" s="56"/>
      <c r="EM473" s="56"/>
      <c r="EN473" s="56"/>
      <c r="EO473" s="56"/>
      <c r="EP473" s="56"/>
      <c r="EQ473" s="56"/>
      <c r="ER473" s="56"/>
      <c r="ES473" s="56"/>
      <c r="ET473" s="56"/>
      <c r="EU473" s="56"/>
      <c r="EV473" s="56"/>
      <c r="EW473" s="56"/>
      <c r="EX473" s="56"/>
      <c r="EY473" s="56"/>
      <c r="EZ473" s="56"/>
      <c r="FA473" s="56"/>
      <c r="FB473" s="56"/>
      <c r="FC473" s="56"/>
      <c r="FD473" s="56"/>
      <c r="FE473" s="56"/>
      <c r="FF473" s="56"/>
      <c r="FG473" s="56"/>
      <c r="FH473" s="56"/>
      <c r="FI473" s="56"/>
      <c r="FJ473" s="56"/>
      <c r="FK473" s="56"/>
      <c r="FL473" s="56"/>
      <c r="FM473" s="56"/>
      <c r="FN473" s="56"/>
      <c r="FO473" s="56"/>
      <c r="FP473" s="56"/>
      <c r="FQ473" s="56"/>
      <c r="FR473" s="56"/>
      <c r="FS473" s="56"/>
      <c r="FT473" s="56"/>
      <c r="FU473" s="56"/>
      <c r="FV473" s="56"/>
      <c r="FW473" s="56"/>
      <c r="FX473" s="56"/>
      <c r="FY473" s="56"/>
      <c r="FZ473" s="56"/>
      <c r="GA473" s="56"/>
      <c r="GB473" s="56"/>
      <c r="GC473" s="56"/>
      <c r="GD473" s="56"/>
      <c r="GE473" s="56"/>
      <c r="GF473" s="56"/>
      <c r="GG473" s="56"/>
      <c r="GH473" s="56"/>
      <c r="GI473" s="56"/>
      <c r="GJ473" s="56"/>
      <c r="GK473" s="56"/>
      <c r="GL473" s="56"/>
    </row>
    <row r="474" spans="1:194" s="22" customFormat="1" x14ac:dyDescent="0.25">
      <c r="A474" s="5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  <c r="FE474" s="2"/>
      <c r="FF474" s="2"/>
      <c r="FG474" s="2"/>
      <c r="FH474" s="2"/>
      <c r="FI474" s="2"/>
      <c r="FJ474" s="2"/>
      <c r="FK474" s="2"/>
      <c r="FL474" s="2"/>
      <c r="FM474" s="2"/>
      <c r="FN474" s="2"/>
      <c r="FO474" s="2"/>
      <c r="FP474" s="2"/>
      <c r="FQ474" s="2"/>
      <c r="FR474" s="2"/>
      <c r="FS474" s="2"/>
      <c r="FT474" s="2"/>
      <c r="FU474" s="2"/>
      <c r="FV474" s="2"/>
      <c r="FW474" s="2"/>
      <c r="FX474" s="2"/>
      <c r="FY474" s="2"/>
      <c r="FZ474" s="2"/>
      <c r="GA474" s="2"/>
      <c r="GB474" s="2"/>
      <c r="GC474" s="2"/>
      <c r="GD474" s="2"/>
      <c r="GE474" s="2"/>
      <c r="GF474" s="2"/>
      <c r="GG474" s="2"/>
      <c r="GH474" s="2"/>
      <c r="GI474" s="2"/>
      <c r="GJ474" s="2"/>
      <c r="GK474" s="2"/>
      <c r="GL474" s="2"/>
    </row>
    <row r="475" spans="1:194" s="22" customFormat="1" x14ac:dyDescent="0.25">
      <c r="A475" s="51" t="s">
        <v>373</v>
      </c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  <c r="EA475" s="2"/>
      <c r="EB475" s="2"/>
      <c r="EC475" s="2"/>
      <c r="ED475" s="2"/>
      <c r="EE475" s="2"/>
      <c r="EF475" s="2"/>
      <c r="EG475" s="2"/>
      <c r="EH475" s="2"/>
      <c r="EI475" s="2"/>
      <c r="EJ475" s="2"/>
      <c r="EK475" s="2"/>
      <c r="EL475" s="2"/>
      <c r="EM475" s="2"/>
      <c r="EN475" s="2"/>
      <c r="EO475" s="2"/>
      <c r="EP475" s="2"/>
      <c r="EQ475" s="2"/>
      <c r="ER475" s="2"/>
      <c r="ES475" s="2"/>
      <c r="ET475" s="2"/>
      <c r="EU475" s="2"/>
      <c r="EV475" s="2"/>
      <c r="EW475" s="2"/>
      <c r="EX475" s="2"/>
      <c r="EY475" s="2"/>
      <c r="EZ475" s="2"/>
      <c r="FA475" s="2"/>
      <c r="FB475" s="2"/>
      <c r="FC475" s="2"/>
      <c r="FD475" s="2"/>
      <c r="FE475" s="2"/>
      <c r="FF475" s="2"/>
      <c r="FG475" s="2"/>
      <c r="FH475" s="2"/>
      <c r="FI475" s="2"/>
      <c r="FJ475" s="2"/>
      <c r="FK475" s="2"/>
      <c r="FL475" s="2"/>
      <c r="FM475" s="2"/>
      <c r="FN475" s="2"/>
      <c r="FO475" s="2"/>
      <c r="FP475" s="2"/>
      <c r="FQ475" s="2"/>
      <c r="FR475" s="2"/>
      <c r="FS475" s="2"/>
      <c r="FT475" s="2"/>
      <c r="FU475" s="2"/>
      <c r="FV475" s="2"/>
      <c r="FW475" s="2"/>
      <c r="FX475" s="2"/>
      <c r="FY475" s="2"/>
      <c r="FZ475" s="2"/>
      <c r="GA475" s="2"/>
      <c r="GB475" s="2"/>
      <c r="GC475" s="2"/>
      <c r="GD475" s="2"/>
      <c r="GE475" s="2"/>
      <c r="GF475" s="2"/>
      <c r="GG475" s="2"/>
      <c r="GH475" s="2"/>
      <c r="GI475" s="2"/>
      <c r="GJ475" s="2"/>
      <c r="GK475" s="2"/>
      <c r="GL475" s="2"/>
    </row>
    <row r="476" spans="1:194" s="22" customFormat="1" x14ac:dyDescent="0.25">
      <c r="A476" s="51" t="s">
        <v>374</v>
      </c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  <c r="EA476" s="2"/>
      <c r="EB476" s="2"/>
      <c r="EC476" s="2"/>
      <c r="ED476" s="2"/>
      <c r="EE476" s="2"/>
      <c r="EF476" s="2"/>
      <c r="EG476" s="2"/>
      <c r="EH476" s="2"/>
      <c r="EI476" s="2"/>
      <c r="EJ476" s="2"/>
      <c r="EK476" s="2"/>
      <c r="EL476" s="2"/>
      <c r="EM476" s="2"/>
      <c r="EN476" s="2"/>
      <c r="EO476" s="2"/>
      <c r="EP476" s="2"/>
      <c r="EQ476" s="2"/>
      <c r="ER476" s="2"/>
      <c r="ES476" s="2"/>
      <c r="ET476" s="2"/>
      <c r="EU476" s="2"/>
      <c r="EV476" s="2"/>
      <c r="EW476" s="2"/>
      <c r="EX476" s="2"/>
      <c r="EY476" s="2"/>
      <c r="EZ476" s="2"/>
      <c r="FA476" s="2"/>
      <c r="FB476" s="2"/>
      <c r="FC476" s="2"/>
      <c r="FD476" s="2"/>
      <c r="FE476" s="2"/>
      <c r="FF476" s="2"/>
      <c r="FG476" s="2"/>
      <c r="FH476" s="2"/>
      <c r="FI476" s="2"/>
      <c r="FJ476" s="2"/>
      <c r="FK476" s="2"/>
      <c r="FL476" s="2"/>
      <c r="FM476" s="2"/>
      <c r="FN476" s="2"/>
      <c r="FO476" s="2"/>
      <c r="FP476" s="2"/>
      <c r="FQ476" s="2"/>
      <c r="FR476" s="2"/>
      <c r="FS476" s="2"/>
      <c r="FT476" s="2"/>
      <c r="FU476" s="2"/>
      <c r="FV476" s="2"/>
      <c r="FW476" s="2"/>
      <c r="FX476" s="2"/>
      <c r="FY476" s="2"/>
      <c r="FZ476" s="2"/>
      <c r="GA476" s="2"/>
      <c r="GB476" s="2"/>
      <c r="GC476" s="2"/>
      <c r="GD476" s="2"/>
      <c r="GE476" s="2"/>
      <c r="GF476" s="2"/>
      <c r="GG476" s="2"/>
      <c r="GH476" s="2"/>
      <c r="GI476" s="2"/>
      <c r="GJ476" s="2"/>
      <c r="GK476" s="2"/>
      <c r="GL476" s="2"/>
    </row>
    <row r="477" spans="1:194" x14ac:dyDescent="0.25">
      <c r="A477" s="51" t="s">
        <v>375</v>
      </c>
    </row>
    <row r="478" spans="1:194" s="59" customForma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  <c r="EA478" s="2"/>
      <c r="EB478" s="2"/>
      <c r="EC478" s="2"/>
      <c r="ED478" s="2"/>
      <c r="EE478" s="2"/>
      <c r="EF478" s="2"/>
      <c r="EG478" s="2"/>
      <c r="EH478" s="2"/>
      <c r="EI478" s="2"/>
      <c r="EJ478" s="2"/>
      <c r="EK478" s="2"/>
      <c r="EL478" s="2"/>
      <c r="EM478" s="2"/>
      <c r="EN478" s="2"/>
      <c r="EO478" s="2"/>
      <c r="EP478" s="2"/>
      <c r="EQ478" s="2"/>
      <c r="ER478" s="2"/>
      <c r="ES478" s="2"/>
      <c r="ET478" s="2"/>
      <c r="EU478" s="2"/>
      <c r="EV478" s="2"/>
      <c r="EW478" s="2"/>
      <c r="EX478" s="2"/>
      <c r="EY478" s="2"/>
      <c r="EZ478" s="2"/>
      <c r="FA478" s="2"/>
      <c r="FB478" s="2"/>
      <c r="FC478" s="2"/>
      <c r="FD478" s="2"/>
      <c r="FE478" s="2"/>
      <c r="FF478" s="2"/>
      <c r="FG478" s="2"/>
      <c r="FH478" s="2"/>
      <c r="FI478" s="2"/>
      <c r="FJ478" s="2"/>
      <c r="FK478" s="2"/>
      <c r="FL478" s="2"/>
      <c r="FM478" s="2"/>
      <c r="FN478" s="2"/>
      <c r="FO478" s="2"/>
      <c r="FP478" s="2"/>
      <c r="FQ478" s="2"/>
      <c r="FR478" s="2"/>
      <c r="FS478" s="2"/>
      <c r="FT478" s="2"/>
      <c r="FU478" s="2"/>
      <c r="FV478" s="2"/>
      <c r="FW478" s="2"/>
      <c r="FX478" s="2"/>
      <c r="FY478" s="2"/>
      <c r="FZ478" s="2"/>
      <c r="GA478" s="2"/>
      <c r="GB478" s="2"/>
      <c r="GC478" s="2"/>
      <c r="GD478" s="2"/>
      <c r="GE478" s="2"/>
      <c r="GF478" s="2"/>
      <c r="GG478" s="2"/>
      <c r="GH478" s="2"/>
      <c r="GI478" s="2"/>
      <c r="GJ478" s="2"/>
      <c r="GK478" s="2"/>
      <c r="GL478" s="2"/>
    </row>
    <row r="479" spans="1:194" s="22" customFormat="1" x14ac:dyDescent="0.25">
      <c r="A479" s="5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  <c r="EA479" s="2"/>
      <c r="EB479" s="2"/>
      <c r="EC479" s="2"/>
      <c r="ED479" s="2"/>
      <c r="EE479" s="2"/>
      <c r="EF479" s="2"/>
      <c r="EG479" s="2"/>
      <c r="EH479" s="2"/>
      <c r="EI479" s="2"/>
      <c r="EJ479" s="2"/>
      <c r="EK479" s="2"/>
      <c r="EL479" s="2"/>
      <c r="EM479" s="2"/>
      <c r="EN479" s="2"/>
      <c r="EO479" s="2"/>
      <c r="EP479" s="2"/>
      <c r="EQ479" s="2"/>
      <c r="ER479" s="2"/>
      <c r="ES479" s="2"/>
      <c r="ET479" s="2"/>
      <c r="EU479" s="2"/>
      <c r="EV479" s="2"/>
      <c r="EW479" s="2"/>
      <c r="EX479" s="2"/>
      <c r="EY479" s="2"/>
      <c r="EZ479" s="2"/>
      <c r="FA479" s="2"/>
      <c r="FB479" s="2"/>
      <c r="FC479" s="2"/>
      <c r="FD479" s="2"/>
      <c r="FE479" s="2"/>
      <c r="FF479" s="2"/>
      <c r="FG479" s="2"/>
      <c r="FH479" s="2"/>
      <c r="FI479" s="2"/>
      <c r="FJ479" s="2"/>
      <c r="FK479" s="2"/>
      <c r="FL479" s="2"/>
      <c r="FM479" s="2"/>
      <c r="FN479" s="2"/>
      <c r="FO479" s="2"/>
      <c r="FP479" s="2"/>
      <c r="FQ479" s="2"/>
      <c r="FR479" s="2"/>
      <c r="FS479" s="2"/>
      <c r="FT479" s="2"/>
      <c r="FU479" s="2"/>
      <c r="FV479" s="2"/>
      <c r="FW479" s="2"/>
      <c r="FX479" s="2"/>
      <c r="FY479" s="2"/>
      <c r="FZ479" s="2"/>
      <c r="GA479" s="2"/>
      <c r="GB479" s="2"/>
      <c r="GC479" s="2"/>
      <c r="GD479" s="2"/>
      <c r="GE479" s="2"/>
      <c r="GF479" s="2"/>
      <c r="GG479" s="2"/>
      <c r="GH479" s="2"/>
      <c r="GI479" s="2"/>
      <c r="GJ479" s="2"/>
      <c r="GK479" s="2"/>
      <c r="GL479" s="2"/>
    </row>
    <row r="480" spans="1:194" s="60" customForma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  <c r="EA480" s="2"/>
      <c r="EB480" s="2"/>
      <c r="EC480" s="2"/>
      <c r="ED480" s="2"/>
      <c r="EE480" s="2"/>
      <c r="EF480" s="2"/>
      <c r="EG480" s="2"/>
      <c r="EH480" s="2"/>
      <c r="EI480" s="2"/>
      <c r="EJ480" s="2"/>
      <c r="EK480" s="2"/>
      <c r="EL480" s="2"/>
      <c r="EM480" s="2"/>
      <c r="EN480" s="2"/>
      <c r="EO480" s="2"/>
      <c r="EP480" s="2"/>
      <c r="EQ480" s="2"/>
      <c r="ER480" s="2"/>
      <c r="ES480" s="2"/>
      <c r="ET480" s="2"/>
      <c r="EU480" s="2"/>
      <c r="EV480" s="2"/>
      <c r="EW480" s="2"/>
      <c r="EX480" s="2"/>
      <c r="EY480" s="2"/>
      <c r="EZ480" s="2"/>
      <c r="FA480" s="2"/>
      <c r="FB480" s="2"/>
      <c r="FC480" s="2"/>
      <c r="FD480" s="2"/>
      <c r="FE480" s="2"/>
      <c r="FF480" s="2"/>
      <c r="FG480" s="2"/>
      <c r="FH480" s="2"/>
      <c r="FI480" s="2"/>
      <c r="FJ480" s="2"/>
      <c r="FK480" s="2"/>
      <c r="FL480" s="2"/>
      <c r="FM480" s="2"/>
      <c r="FN480" s="2"/>
      <c r="FO480" s="2"/>
      <c r="FP480" s="2"/>
      <c r="FQ480" s="2"/>
      <c r="FR480" s="2"/>
      <c r="FS480" s="2"/>
      <c r="FT480" s="2"/>
      <c r="FU480" s="2"/>
      <c r="FV480" s="2"/>
      <c r="FW480" s="2"/>
      <c r="FX480" s="2"/>
      <c r="FY480" s="2"/>
      <c r="FZ480" s="2"/>
      <c r="GA480" s="2"/>
      <c r="GB480" s="2"/>
      <c r="GC480" s="2"/>
      <c r="GD480" s="2"/>
      <c r="GE480" s="2"/>
      <c r="GF480" s="2"/>
      <c r="GG480" s="2"/>
      <c r="GH480" s="2"/>
      <c r="GI480" s="2"/>
      <c r="GJ480" s="2"/>
      <c r="GK480" s="2"/>
      <c r="GL480" s="2"/>
    </row>
    <row r="481" spans="1:194" s="59" customForma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  <c r="FI481" s="2"/>
      <c r="FJ481" s="2"/>
      <c r="FK481" s="2"/>
      <c r="FL481" s="2"/>
      <c r="FM481" s="2"/>
      <c r="FN481" s="2"/>
      <c r="FO481" s="2"/>
      <c r="FP481" s="2"/>
      <c r="FQ481" s="2"/>
      <c r="FR481" s="2"/>
      <c r="FS481" s="2"/>
      <c r="FT481" s="2"/>
      <c r="FU481" s="2"/>
      <c r="FV481" s="2"/>
      <c r="FW481" s="2"/>
      <c r="FX481" s="2"/>
      <c r="FY481" s="2"/>
      <c r="FZ481" s="2"/>
      <c r="GA481" s="2"/>
      <c r="GB481" s="2"/>
      <c r="GC481" s="2"/>
      <c r="GD481" s="2"/>
      <c r="GE481" s="2"/>
      <c r="GF481" s="2"/>
      <c r="GG481" s="2"/>
      <c r="GH481" s="2"/>
      <c r="GI481" s="2"/>
      <c r="GJ481" s="2"/>
      <c r="GK481" s="2"/>
      <c r="GL481" s="2"/>
    </row>
    <row r="482" spans="1:194" s="61" customForma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  <c r="EL482" s="2"/>
      <c r="EM482" s="2"/>
      <c r="EN482" s="2"/>
      <c r="EO482" s="2"/>
      <c r="EP482" s="2"/>
      <c r="EQ482" s="2"/>
      <c r="ER482" s="2"/>
      <c r="ES482" s="2"/>
      <c r="ET482" s="2"/>
      <c r="EU482" s="2"/>
      <c r="EV482" s="2"/>
      <c r="EW482" s="2"/>
      <c r="EX482" s="2"/>
      <c r="EY482" s="2"/>
      <c r="EZ482" s="2"/>
      <c r="FA482" s="2"/>
      <c r="FB482" s="2"/>
      <c r="FC482" s="2"/>
      <c r="FD482" s="2"/>
      <c r="FE482" s="2"/>
      <c r="FF482" s="2"/>
      <c r="FG482" s="2"/>
      <c r="FH482" s="2"/>
      <c r="FI482" s="2"/>
      <c r="FJ482" s="2"/>
      <c r="FK482" s="2"/>
      <c r="FL482" s="2"/>
      <c r="FM482" s="2"/>
      <c r="FN482" s="2"/>
      <c r="FO482" s="2"/>
      <c r="FP482" s="2"/>
      <c r="FQ482" s="2"/>
      <c r="FR482" s="2"/>
      <c r="FS482" s="2"/>
      <c r="FT482" s="2"/>
      <c r="FU482" s="2"/>
      <c r="FV482" s="2"/>
      <c r="FW482" s="2"/>
      <c r="FX482" s="2"/>
      <c r="FY482" s="2"/>
      <c r="FZ482" s="2"/>
      <c r="GA482" s="2"/>
      <c r="GB482" s="2"/>
      <c r="GC482" s="2"/>
      <c r="GD482" s="2"/>
      <c r="GE482" s="2"/>
      <c r="GF482" s="2"/>
      <c r="GG482" s="2"/>
      <c r="GH482" s="2"/>
      <c r="GI482" s="2"/>
      <c r="GJ482" s="2"/>
      <c r="GK482" s="2"/>
      <c r="GL482" s="2"/>
    </row>
    <row r="483" spans="1:194" s="61" customForma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  <c r="FI483" s="2"/>
      <c r="FJ483" s="2"/>
      <c r="FK483" s="2"/>
      <c r="FL483" s="2"/>
      <c r="FM483" s="2"/>
      <c r="FN483" s="2"/>
      <c r="FO483" s="2"/>
      <c r="FP483" s="2"/>
      <c r="FQ483" s="2"/>
      <c r="FR483" s="2"/>
      <c r="FS483" s="2"/>
      <c r="FT483" s="2"/>
      <c r="FU483" s="2"/>
      <c r="FV483" s="2"/>
      <c r="FW483" s="2"/>
      <c r="FX483" s="2"/>
      <c r="FY483" s="2"/>
      <c r="FZ483" s="2"/>
      <c r="GA483" s="2"/>
      <c r="GB483" s="2"/>
      <c r="GC483" s="2"/>
      <c r="GD483" s="2"/>
      <c r="GE483" s="2"/>
      <c r="GF483" s="2"/>
      <c r="GG483" s="2"/>
      <c r="GH483" s="2"/>
      <c r="GI483" s="2"/>
      <c r="GJ483" s="2"/>
      <c r="GK483" s="2"/>
      <c r="GL483" s="2"/>
    </row>
    <row r="485" spans="1:194" s="5" customForma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  <c r="FG485" s="2"/>
      <c r="FH485" s="2"/>
      <c r="FI485" s="2"/>
      <c r="FJ485" s="2"/>
      <c r="FK485" s="2"/>
      <c r="FL485" s="2"/>
      <c r="FM485" s="2"/>
      <c r="FN485" s="2"/>
      <c r="FO485" s="2"/>
      <c r="FP485" s="2"/>
      <c r="FQ485" s="2"/>
      <c r="FR485" s="2"/>
      <c r="FS485" s="2"/>
      <c r="FT485" s="2"/>
      <c r="FU485" s="2"/>
      <c r="FV485" s="2"/>
      <c r="FW485" s="2"/>
      <c r="FX485" s="2"/>
      <c r="FY485" s="2"/>
      <c r="FZ485" s="2"/>
      <c r="GA485" s="2"/>
      <c r="GB485" s="2"/>
      <c r="GC485" s="2"/>
      <c r="GD485" s="2"/>
      <c r="GE485" s="2"/>
      <c r="GF485" s="2"/>
      <c r="GG485" s="2"/>
      <c r="GH485" s="2"/>
      <c r="GI485" s="2"/>
      <c r="GJ485" s="2"/>
      <c r="GK485" s="2"/>
      <c r="GL485" s="2"/>
    </row>
    <row r="488" spans="1:194" s="59" customForma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  <c r="FG488" s="2"/>
      <c r="FH488" s="2"/>
      <c r="FI488" s="2"/>
      <c r="FJ488" s="2"/>
      <c r="FK488" s="2"/>
      <c r="FL488" s="2"/>
      <c r="FM488" s="2"/>
      <c r="FN488" s="2"/>
      <c r="FO488" s="2"/>
      <c r="FP488" s="2"/>
      <c r="FQ488" s="2"/>
      <c r="FR488" s="2"/>
      <c r="FS488" s="2"/>
      <c r="FT488" s="2"/>
      <c r="FU488" s="2"/>
      <c r="FV488" s="2"/>
      <c r="FW488" s="2"/>
      <c r="FX488" s="2"/>
      <c r="FY488" s="2"/>
      <c r="FZ488" s="2"/>
      <c r="GA488" s="2"/>
      <c r="GB488" s="2"/>
      <c r="GC488" s="2"/>
      <c r="GD488" s="2"/>
      <c r="GE488" s="2"/>
      <c r="GF488" s="2"/>
      <c r="GG488" s="2"/>
      <c r="GH488" s="2"/>
      <c r="GI488" s="2"/>
      <c r="GJ488" s="2"/>
      <c r="GK488" s="2"/>
      <c r="GL488" s="2"/>
    </row>
    <row r="489" spans="1:194" s="59" customForma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  <c r="FI489" s="2"/>
      <c r="FJ489" s="2"/>
      <c r="FK489" s="2"/>
      <c r="FL489" s="2"/>
      <c r="FM489" s="2"/>
      <c r="FN489" s="2"/>
      <c r="FO489" s="2"/>
      <c r="FP489" s="2"/>
      <c r="FQ489" s="2"/>
      <c r="FR489" s="2"/>
      <c r="FS489" s="2"/>
      <c r="FT489" s="2"/>
      <c r="FU489" s="2"/>
      <c r="FV489" s="2"/>
      <c r="FW489" s="2"/>
      <c r="FX489" s="2"/>
      <c r="FY489" s="2"/>
      <c r="FZ489" s="2"/>
      <c r="GA489" s="2"/>
      <c r="GB489" s="2"/>
      <c r="GC489" s="2"/>
      <c r="GD489" s="2"/>
      <c r="GE489" s="2"/>
      <c r="GF489" s="2"/>
      <c r="GG489" s="2"/>
      <c r="GH489" s="2"/>
      <c r="GI489" s="2"/>
      <c r="GJ489" s="2"/>
      <c r="GK489" s="2"/>
      <c r="GL489" s="2"/>
    </row>
    <row r="490" spans="1:194" s="51" customForma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  <c r="FI490" s="2"/>
      <c r="FJ490" s="2"/>
      <c r="FK490" s="2"/>
      <c r="FL490" s="2"/>
      <c r="FM490" s="2"/>
      <c r="FN490" s="2"/>
      <c r="FO490" s="2"/>
      <c r="FP490" s="2"/>
      <c r="FQ490" s="2"/>
      <c r="FR490" s="2"/>
      <c r="FS490" s="2"/>
      <c r="FT490" s="2"/>
      <c r="FU490" s="2"/>
      <c r="FV490" s="2"/>
      <c r="FW490" s="2"/>
      <c r="FX490" s="2"/>
      <c r="FY490" s="2"/>
      <c r="FZ490" s="2"/>
      <c r="GA490" s="2"/>
      <c r="GB490" s="2"/>
      <c r="GC490" s="2"/>
      <c r="GD490" s="2"/>
      <c r="GE490" s="2"/>
      <c r="GF490" s="2"/>
      <c r="GG490" s="2"/>
      <c r="GH490" s="2"/>
      <c r="GI490" s="2"/>
      <c r="GJ490" s="2"/>
      <c r="GK490" s="2"/>
      <c r="GL490" s="2"/>
    </row>
  </sheetData>
  <printOptions horizontalCentered="1"/>
  <pageMargins left="0.19685039370078741" right="0.11811023622047245" top="0.59055118110236227" bottom="0.59055118110236227" header="0" footer="0"/>
  <pageSetup paperSize="8" scale="49" fitToHeight="0" orientation="landscape" r:id="rId1"/>
  <headerFooter alignWithMargins="0">
    <oddFooter>Стр.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ИП 30112020</vt:lpstr>
      <vt:lpstr>'ИП 30112020'!Печат_заглавия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Reneta Koleva</dc:creator>
  <cp:lastModifiedBy>Diana Gavrailova</cp:lastModifiedBy>
  <cp:lastPrinted>2020-12-04T11:33:55Z</cp:lastPrinted>
  <dcterms:created xsi:type="dcterms:W3CDTF">2020-12-04T11:19:18Z</dcterms:created>
  <dcterms:modified xsi:type="dcterms:W3CDTF">2020-12-04T11:48:49Z</dcterms:modified>
</cp:coreProperties>
</file>